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270" activeTab="6"/>
  </bookViews>
  <sheets>
    <sheet name="Прил1" sheetId="1" r:id="rId1"/>
    <sheet name="Прил2-2018" sheetId="3" r:id="rId2"/>
    <sheet name="Прил2-2019" sheetId="4" r:id="rId3"/>
    <sheet name="Прил2-2020" sheetId="10" r:id="rId4"/>
    <sheet name="Прил3а" sheetId="5" r:id="rId5"/>
    <sheet name="Прил3в" sheetId="6" r:id="rId6"/>
    <sheet name="Прил5" sheetId="7" r:id="rId7"/>
  </sheets>
  <externalReferences>
    <externalReference r:id="rId8"/>
    <externalReference r:id="rId9"/>
  </externalReferences>
  <calcPr calcId="144525"/>
</workbook>
</file>

<file path=xl/calcChain.xml><?xml version="1.0" encoding="utf-8"?>
<calcChain xmlns="http://schemas.openxmlformats.org/spreadsheetml/2006/main">
  <c r="C9" i="10" l="1"/>
  <c r="C8" i="10"/>
  <c r="D9" i="10"/>
  <c r="Q24" i="6"/>
  <c r="R24" i="6" s="1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5" i="6"/>
  <c r="R26" i="6"/>
  <c r="R27" i="6"/>
  <c r="Q9" i="6"/>
  <c r="R9" i="6" s="1"/>
  <c r="R23" i="5"/>
  <c r="Q23" i="5"/>
  <c r="R12" i="5" l="1"/>
  <c r="R13" i="5"/>
  <c r="R14" i="5"/>
  <c r="R15" i="5"/>
  <c r="R16" i="5"/>
  <c r="R17" i="5"/>
  <c r="R18" i="5"/>
  <c r="R19" i="5"/>
  <c r="R20" i="5"/>
  <c r="R21" i="5"/>
  <c r="R22" i="5"/>
  <c r="R11" i="5"/>
  <c r="Q8" i="5" l="1"/>
  <c r="R8" i="5" s="1"/>
  <c r="E9" i="10"/>
  <c r="F9" i="10"/>
  <c r="F8" i="10"/>
  <c r="H25" i="1"/>
  <c r="E6" i="1"/>
  <c r="D11" i="5" l="1"/>
  <c r="D12" i="5"/>
  <c r="D13" i="5"/>
  <c r="D14" i="5"/>
  <c r="D16" i="5"/>
  <c r="D17" i="5"/>
  <c r="D18" i="5"/>
  <c r="D19" i="5"/>
  <c r="D21" i="5"/>
  <c r="D22" i="5"/>
  <c r="D23" i="5"/>
  <c r="H6" i="1" l="1"/>
  <c r="F14" i="7" l="1"/>
  <c r="E14" i="7"/>
  <c r="E32" i="6"/>
  <c r="I27" i="6"/>
  <c r="G27" i="6"/>
  <c r="G26" i="6"/>
  <c r="P24" i="6"/>
  <c r="P23" i="6" s="1"/>
  <c r="F24" i="6"/>
  <c r="D24" i="6"/>
  <c r="O23" i="6"/>
  <c r="K23" i="6"/>
  <c r="L25" i="6" s="1"/>
  <c r="I23" i="6"/>
  <c r="H23" i="6"/>
  <c r="G23" i="6"/>
  <c r="F23" i="6"/>
  <c r="D23" i="6"/>
  <c r="P22" i="6"/>
  <c r="L22" i="6"/>
  <c r="K22" i="6"/>
  <c r="F22" i="6"/>
  <c r="D22" i="6"/>
  <c r="P20" i="6"/>
  <c r="K20" i="6"/>
  <c r="F20" i="6"/>
  <c r="D20" i="6"/>
  <c r="F19" i="6"/>
  <c r="D19" i="6"/>
  <c r="K18" i="6"/>
  <c r="F18" i="6"/>
  <c r="D18" i="6"/>
  <c r="P17" i="6"/>
  <c r="F17" i="6"/>
  <c r="D17" i="6"/>
  <c r="P15" i="6"/>
  <c r="J15" i="6"/>
  <c r="F15" i="6"/>
  <c r="D15" i="6"/>
  <c r="P14" i="6"/>
  <c r="O14" i="6"/>
  <c r="J14" i="6"/>
  <c r="K17" i="6" s="1"/>
  <c r="I14" i="6"/>
  <c r="I17" i="6" s="1"/>
  <c r="H14" i="6"/>
  <c r="H15" i="6" s="1"/>
  <c r="G14" i="6"/>
  <c r="G15" i="6" s="1"/>
  <c r="F14" i="6"/>
  <c r="D14" i="6"/>
  <c r="P13" i="6"/>
  <c r="K13" i="6"/>
  <c r="I13" i="6"/>
  <c r="H13" i="6"/>
  <c r="G13" i="6"/>
  <c r="F13" i="6"/>
  <c r="D13" i="6"/>
  <c r="P12" i="6"/>
  <c r="K12" i="6"/>
  <c r="I12" i="6"/>
  <c r="I25" i="6" s="1"/>
  <c r="H12" i="6"/>
  <c r="H25" i="6" s="1"/>
  <c r="G12" i="6"/>
  <c r="G25" i="6" s="1"/>
  <c r="F12" i="6"/>
  <c r="D12" i="6"/>
  <c r="O9" i="6"/>
  <c r="P9" i="6" s="1"/>
  <c r="M9" i="6"/>
  <c r="E9" i="6"/>
  <c r="F9" i="6" s="1"/>
  <c r="C9" i="6"/>
  <c r="D9" i="6" s="1"/>
  <c r="I7" i="6"/>
  <c r="I6" i="6"/>
  <c r="H6" i="6"/>
  <c r="O26" i="5"/>
  <c r="O25" i="5"/>
  <c r="K24" i="5"/>
  <c r="H23" i="5"/>
  <c r="F23" i="5"/>
  <c r="O22" i="5"/>
  <c r="M22" i="5"/>
  <c r="J22" i="5"/>
  <c r="I22" i="5"/>
  <c r="G22" i="5"/>
  <c r="H22" i="5" s="1"/>
  <c r="F22" i="5"/>
  <c r="M21" i="5"/>
  <c r="H21" i="5"/>
  <c r="F21" i="5"/>
  <c r="M19" i="5"/>
  <c r="H19" i="5"/>
  <c r="F19" i="5"/>
  <c r="H18" i="5"/>
  <c r="F18" i="5"/>
  <c r="M17" i="5"/>
  <c r="H17" i="5"/>
  <c r="F17" i="5"/>
  <c r="M16" i="5"/>
  <c r="H16" i="5"/>
  <c r="F16" i="5"/>
  <c r="M14" i="5"/>
  <c r="H14" i="5"/>
  <c r="F14" i="5"/>
  <c r="O13" i="5"/>
  <c r="O16" i="5" s="1"/>
  <c r="M13" i="5"/>
  <c r="J13" i="5"/>
  <c r="J14" i="5" s="1"/>
  <c r="I13" i="5"/>
  <c r="I14" i="5" s="1"/>
  <c r="I16" i="5" s="1"/>
  <c r="I17" i="5" s="1"/>
  <c r="H13" i="5"/>
  <c r="F13" i="5"/>
  <c r="O12" i="5"/>
  <c r="M12" i="5"/>
  <c r="J12" i="5"/>
  <c r="I12" i="5"/>
  <c r="H12" i="5"/>
  <c r="F12" i="5"/>
  <c r="O11" i="5"/>
  <c r="O24" i="5" s="1"/>
  <c r="M11" i="5"/>
  <c r="J11" i="5"/>
  <c r="J24" i="5" s="1"/>
  <c r="I11" i="5"/>
  <c r="I26" i="5" s="1"/>
  <c r="H11" i="5"/>
  <c r="F11" i="5"/>
  <c r="G8" i="5"/>
  <c r="H8" i="5" s="1"/>
  <c r="E8" i="5"/>
  <c r="F8" i="5" s="1"/>
  <c r="C8" i="5"/>
  <c r="D8" i="5" s="1"/>
  <c r="E9" i="4"/>
  <c r="C9" i="4"/>
  <c r="F9" i="4" s="1"/>
  <c r="E8" i="4"/>
  <c r="C8" i="4"/>
  <c r="F8" i="4" s="1"/>
  <c r="E9" i="3"/>
  <c r="C9" i="3"/>
  <c r="F9" i="3" s="1"/>
  <c r="E8" i="3"/>
  <c r="C8" i="3"/>
  <c r="F8" i="3" s="1"/>
  <c r="F32" i="1"/>
  <c r="G25" i="1"/>
  <c r="F25" i="1"/>
  <c r="D25" i="1"/>
  <c r="C25" i="1"/>
  <c r="G12" i="1"/>
  <c r="G6" i="1" s="1"/>
  <c r="D12" i="1"/>
  <c r="F6" i="1"/>
  <c r="D6" i="1"/>
  <c r="C6" i="1"/>
  <c r="I15" i="6" l="1"/>
  <c r="H17" i="6"/>
  <c r="L23" i="6"/>
  <c r="I5" i="6"/>
  <c r="G17" i="6"/>
  <c r="G22" i="6" s="1"/>
  <c r="N21" i="5"/>
  <c r="M24" i="5"/>
  <c r="O14" i="5"/>
  <c r="J16" i="5"/>
  <c r="I19" i="6"/>
  <c r="I18" i="6"/>
  <c r="I22" i="6"/>
  <c r="I20" i="6"/>
  <c r="G18" i="6"/>
  <c r="K14" i="6"/>
  <c r="K25" i="6" s="1"/>
  <c r="K15" i="6"/>
  <c r="O17" i="5"/>
  <c r="O21" i="5"/>
  <c r="O19" i="5"/>
  <c r="I21" i="5"/>
  <c r="I24" i="5"/>
  <c r="I19" i="5"/>
  <c r="J21" i="5"/>
  <c r="G20" i="6" l="1"/>
  <c r="H18" i="6"/>
  <c r="H20" i="6"/>
  <c r="H22" i="6"/>
  <c r="J19" i="5"/>
  <c r="J17" i="5"/>
</calcChain>
</file>

<file path=xl/sharedStrings.xml><?xml version="1.0" encoding="utf-8"?>
<sst xmlns="http://schemas.openxmlformats.org/spreadsheetml/2006/main" count="300" uniqueCount="163">
  <si>
    <t>Приложение № 1
 к Методическим указаниям</t>
  </si>
  <si>
    <r>
      <t xml:space="preserve">Расходы на строительство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</t>
    </r>
    <r>
      <rPr>
        <b/>
        <i/>
        <sz val="12"/>
        <color indexed="8"/>
        <rFont val="Times New Roman"/>
        <family val="1"/>
        <charset val="204"/>
      </rPr>
      <t>Акционерное общество "Энерго-Альянс"</t>
    </r>
    <r>
      <rPr>
        <b/>
        <sz val="12"/>
        <color indexed="8"/>
        <rFont val="Times New Roman"/>
        <family val="1"/>
        <charset val="204"/>
      </rPr>
      <t xml:space="preserve">
город</t>
    </r>
  </si>
  <si>
    <t>№</t>
  </si>
  <si>
    <t>Объект электросетевого хозяйства</t>
  </si>
  <si>
    <t>Протяженность (для линий электропередачи), км</t>
  </si>
  <si>
    <t>расходы, тыс. руб.</t>
  </si>
  <si>
    <t>1.</t>
  </si>
  <si>
    <t>Строительство воздушных линий:</t>
  </si>
  <si>
    <t>1.3.</t>
  </si>
  <si>
    <t>Материал опоры (деревянные (j=1), металлические (j=2), железобетонные (j=3))</t>
  </si>
  <si>
    <t>1.3.1</t>
  </si>
  <si>
    <t>Тип провода (изолированный провод (k=1), неизолированный провод (k=2))</t>
  </si>
  <si>
    <t>1.3.1.3.</t>
  </si>
  <si>
    <t>Материал провода (медный (l=1), стальной (l=2), сталеалюминиевый (l=3))</t>
  </si>
  <si>
    <t>1.3.1.3.2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</si>
  <si>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</si>
  <si>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1.3.1.3.1</t>
  </si>
  <si>
    <t>ВЛ-0,4 кВ СИП до 25мм2</t>
  </si>
  <si>
    <t>ВЛ-0,4 кВ СИП от 25 до 50мм2</t>
  </si>
  <si>
    <t>1.3.1.3.3</t>
  </si>
  <si>
    <t>ВЛ-0,4 кВ СИП от 50 до 75мм2</t>
  </si>
  <si>
    <t>1.3.1.3.4.</t>
  </si>
  <si>
    <t>ВЛ-0,4 кВ СИП от 75 до 100 мм2</t>
  </si>
  <si>
    <t>1.3.1.3.5</t>
  </si>
  <si>
    <t>ВЛ-0,4 кВ СИП от 100 до 200мм2</t>
  </si>
  <si>
    <t>1.3.2.3.1.</t>
  </si>
  <si>
    <t>ВЛ-6кВ СИП до 50 мм2</t>
  </si>
  <si>
    <t>ВЛ-6кВ СИП от 50 до 100 мм2</t>
  </si>
  <si>
    <t>2.</t>
  </si>
  <si>
    <t>Строительство кабельных линий</t>
  </si>
  <si>
    <t>2.1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</si>
  <si>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</si>
  <si>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2.1.2.</t>
  </si>
  <si>
    <t>Одножильные (k=1) и трехжильные (k=2)</t>
  </si>
  <si>
    <t>2.1.2.2.</t>
  </si>
  <si>
    <t>Кабели с резиновой и пластмассовой изоляцией (l=1), бумажной изоляцией (l=2)</t>
  </si>
  <si>
    <t>КЛ-0,4 кВ до 50 мм2</t>
  </si>
  <si>
    <t>КЛ-04 кВ от 50-100 мм2</t>
  </si>
  <si>
    <t>2.1.1.1.5</t>
  </si>
  <si>
    <t xml:space="preserve">КЛ-0,4 кВ от 100 - 200 мм2 </t>
  </si>
  <si>
    <t xml:space="preserve">КЛ-0,4 от 200-500 мм2 </t>
  </si>
  <si>
    <t>КЛ-6 кВ 50-100 мм2</t>
  </si>
  <si>
    <t>КЛ-6 кВ 100-200 мм2</t>
  </si>
  <si>
    <t>КЛ-6 кВ200-500 мм2</t>
  </si>
  <si>
    <t>3.</t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</si>
  <si>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</si>
  <si>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</si>
  <si>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</si>
  <si>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</si>
  <si>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свыше 500 А (k=4)</t>
  </si>
  <si>
    <t>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</si>
  <si>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</si>
  <si>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4.1</t>
  </si>
  <si>
    <t>Комплектные трансформаторные подстанции (КТП) (j=1), распределительные трансформаторные подстанции (РТП) (j=2)</t>
  </si>
  <si>
    <t>4.1.1</t>
  </si>
  <si>
    <t>Однотрансформаторные (k=1), двухтрансформаторные и более (k=2)</t>
  </si>
  <si>
    <t>4.1.1.l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</si>
  <si>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</si>
  <si>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>4.1.1.2.</t>
  </si>
  <si>
    <t>до 100 кВа</t>
  </si>
  <si>
    <t>4.1.1.3.</t>
  </si>
  <si>
    <t>до 160 кВа</t>
  </si>
  <si>
    <t>до 250кВа</t>
  </si>
  <si>
    <t>4.1.1.4.</t>
  </si>
  <si>
    <t>до 400кВа</t>
  </si>
  <si>
    <t>4.1.1.5.</t>
  </si>
  <si>
    <t>до 630кВа</t>
  </si>
  <si>
    <t>4.1.2.3.</t>
  </si>
  <si>
    <t>от 25 до 100 кВа</t>
  </si>
  <si>
    <t>4.1.2.4.</t>
  </si>
  <si>
    <t>4.1.2.5.</t>
  </si>
  <si>
    <t>5.</t>
  </si>
  <si>
    <t>Строительство центров питания, подстанций уровнем напряжения 35 кВ и выше (ПС)</t>
  </si>
  <si>
    <t>5.j</t>
  </si>
  <si>
    <t>ПС 35 кВ (j=1), ПС 110 кВ и выше (j=2)</t>
  </si>
  <si>
    <t xml:space="preserve">Исполнитель: экономист-бухгалтер  ___________________ /   С.В. Вилесова /                                      </t>
  </si>
  <si>
    <t>АО "Энерго-Альянс"</t>
  </si>
  <si>
    <t>Приложение № 2 к Методическим указаниям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</si>
  <si>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</si>
  <si>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</si>
  <si>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</si>
  <si>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согласно приложению 3 по каждому мероприятию (руб.)</t>
  </si>
  <si>
    <t>Количество технологических присоединений</t>
  </si>
  <si>
    <t>Объем максимальной мощности (кВт)</t>
  </si>
  <si>
    <t>Расходы на одно присоединение (руб. на одно ТП)</t>
  </si>
  <si>
    <t>(шт.)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</si>
  <si>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</si>
  <si>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</si>
  <si>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Исп. С.В. Вилесова</t>
  </si>
  <si>
    <r>
      <t xml:space="preserve">Расходы на выполнение мероприятий по технологическому присоединению, предусмотренным подпунктами «а», «в» - «д» пункта 16 Методических указаний, за </t>
    </r>
    <r>
      <rPr>
        <b/>
        <u/>
        <sz val="14"/>
        <color indexed="8"/>
        <rFont val="Times New Roman"/>
        <family val="1"/>
        <charset val="204"/>
      </rPr>
      <t>2018</t>
    </r>
    <r>
      <rPr>
        <sz val="14"/>
        <color indexed="8"/>
        <rFont val="Times New Roman"/>
        <family val="1"/>
        <charset val="204"/>
      </rPr>
      <t xml:space="preserve"> год </t>
    </r>
  </si>
  <si>
    <t>Генеральный директор</t>
  </si>
  <si>
    <t>А.В. Иванов</t>
  </si>
  <si>
    <r>
      <t xml:space="preserve">Расходы на выполнение мероприятий по технологическому присоединению, предусмотренным подпунктами «а», «в» - «д» пункта 16 Методических указаний, за </t>
    </r>
    <r>
      <rPr>
        <b/>
        <u/>
        <sz val="14"/>
        <color indexed="8"/>
        <rFont val="Times New Roman"/>
        <family val="1"/>
        <charset val="204"/>
      </rPr>
      <t>2019</t>
    </r>
    <r>
      <rPr>
        <sz val="14"/>
        <color indexed="8"/>
        <rFont val="Times New Roman"/>
        <family val="1"/>
        <charset val="204"/>
      </rPr>
      <t xml:space="preserve"> год </t>
    </r>
  </si>
  <si>
    <t>Приложение № 3 к Методическим указаниям</t>
  </si>
  <si>
    <t>По мероприятиям, предусмотренным пп.А  п.16-подготовка и выдача тех.условий</t>
  </si>
  <si>
    <t>Показатели</t>
  </si>
  <si>
    <t>Данные за</t>
  </si>
  <si>
    <t xml:space="preserve">Всего за </t>
  </si>
  <si>
    <t xml:space="preserve">Данные за </t>
  </si>
  <si>
    <t>2017 г.(на ед.)</t>
  </si>
  <si>
    <t>2018 г. (на ед)</t>
  </si>
  <si>
    <t>2019 г. (на ед)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</si>
  <si>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</si>
  <si>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</si>
  <si>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</si>
  <si>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 xml:space="preserve"> </t>
  </si>
  <si>
    <t>1.2.</t>
  </si>
  <si>
    <t>Энергия на хозяйственные нужды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</si>
  <si>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</si>
  <si>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</si>
  <si>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</si>
  <si>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</si>
  <si>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</si>
  <si>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</si>
  <si>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</si>
  <si>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</si>
  <si>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</si>
  <si>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</si>
  <si>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</si>
  <si>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</si>
  <si>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</si>
  <si>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</si>
  <si>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</si>
  <si>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</si>
  <si>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</si>
  <si>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</si>
  <si>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</si>
  <si>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</si>
  <si>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</si>
  <si>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</si>
  <si>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</si>
  <si>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</si>
  <si>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</si>
  <si>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</si>
  <si>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</si>
  <si>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</si>
  <si>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</si>
  <si>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</si>
  <si>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</si>
  <si>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По мероприятиям, предусмотренным пп.в  п.16 - проверка выполнения техусловий заявителем</t>
  </si>
  <si>
    <t>Данные за ед.</t>
  </si>
  <si>
    <t>Всего за</t>
  </si>
  <si>
    <t>2016 г.</t>
  </si>
  <si>
    <t>2018 г.</t>
  </si>
  <si>
    <t>2019 г.</t>
  </si>
  <si>
    <t xml:space="preserve">Приложение № 5
к Методическим указаниям
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</si>
  <si>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</si>
  <si>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</si>
  <si>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</si>
  <si>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</si>
  <si>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Присоединенная максимальная мощность, кВт</t>
  </si>
  <si>
    <t>Строительство воздушных линий</t>
  </si>
  <si>
    <t>1.3.1.</t>
  </si>
  <si>
    <t>1.j.k.l.m</t>
  </si>
  <si>
    <t>ВЛ-0,4 кВ СИП до 25мм2 вкл.</t>
  </si>
  <si>
    <t>1.3.1.3.4</t>
  </si>
  <si>
    <t>ВЛ-0,4 кВ СИП 120</t>
  </si>
  <si>
    <t>КЛ-0,4 кВ АВБбШв 1*185</t>
  </si>
  <si>
    <t>Исполнитель:  С.В. Вилесова</t>
  </si>
  <si>
    <r>
      <rPr>
        <b/>
        <sz val="12"/>
        <color indexed="8"/>
        <rFont val="Times New Roman"/>
        <family val="1"/>
        <charset val="204"/>
      </rPr>
      <t>Расчет</t>
    </r>
    <r>
      <rPr>
        <sz val="12"/>
        <color indexed="8"/>
        <rFont val="Times New Roman"/>
        <family val="1"/>
        <charset val="204"/>
      </rPr>
      <t xml:space="preserve">
расходов на выполнение мероприятий по технологическому присоединению, предусмотренных подпунктами «а», «в» - «д» пункта 16 Методических указаний, за 2018-2020 год
(</t>
    </r>
    <r>
      <rPr>
        <sz val="10"/>
        <color indexed="8"/>
        <rFont val="Times New Roman"/>
        <family val="1"/>
        <charset val="204"/>
      </rPr>
      <t>выполняется отдельно по мероприятиям, предусмотренным подпунктами «а», «в» - «д» пункта 16 Методических указаний</t>
    </r>
    <r>
      <rPr>
        <sz val="12"/>
        <color indexed="8"/>
        <rFont val="Times New Roman"/>
        <family val="1"/>
        <charset val="204"/>
      </rPr>
      <t xml:space="preserve">) 
</t>
    </r>
  </si>
  <si>
    <r>
      <t xml:space="preserve">Расходы на выполнение мероприятий по технологическому присоединению, предусмотренным подпунктами «а», «в» - «д» пункта 16 Методических указаний, за </t>
    </r>
    <r>
      <rPr>
        <b/>
        <u/>
        <sz val="14"/>
        <color indexed="8"/>
        <rFont val="Times New Roman"/>
        <family val="1"/>
        <charset val="204"/>
      </rPr>
      <t>2020</t>
    </r>
    <r>
      <rPr>
        <sz val="14"/>
        <color indexed="8"/>
        <rFont val="Times New Roman"/>
        <family val="1"/>
        <charset val="204"/>
      </rPr>
      <t xml:space="preserve"> год </t>
    </r>
  </si>
  <si>
    <t>2020 г. (на ед)</t>
  </si>
  <si>
    <t>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</si>
</sst>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"/>
  </numFmts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4">
    <xf numFmtId="0" fontId="0" fillId="0" borderId="0" xfId="0"/>
    <xf numFmtId="0" fontId="5" fillId="0" borderId="0" xfId="0" applyFont="1"/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 wrapText="1"/>
    </xf>
    <xf numFmtId="49" fontId="5" fillId="0" borderId="6" xfId="0" applyNumberFormat="1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2" fontId="5" fillId="0" borderId="7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0" fontId="12" fillId="0" borderId="15" xfId="0" applyFont="1" applyBorder="1" applyAlignment="1">
      <alignment vertical="top" wrapText="1"/>
    </xf>
    <xf numFmtId="0" fontId="13" fillId="0" borderId="0" xfId="0" applyFont="1"/>
    <xf numFmtId="0" fontId="12" fillId="0" borderId="1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4" fontId="12" fillId="0" borderId="7" xfId="0" applyNumberFormat="1" applyFont="1" applyFill="1" applyBorder="1" applyAlignment="1">
      <alignment vertical="top" wrapText="1"/>
    </xf>
    <xf numFmtId="1" fontId="12" fillId="0" borderId="7" xfId="0" applyNumberFormat="1" applyFont="1" applyBorder="1" applyAlignment="1">
      <alignment vertical="top" wrapText="1"/>
    </xf>
    <xf numFmtId="4" fontId="12" fillId="0" borderId="7" xfId="0" applyNumberFormat="1" applyFont="1" applyBorder="1" applyAlignment="1">
      <alignment vertical="top" wrapText="1"/>
    </xf>
    <xf numFmtId="0" fontId="1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5" fillId="0" borderId="9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0" xfId="0" applyFont="1"/>
    <xf numFmtId="0" fontId="5" fillId="0" borderId="6" xfId="0" applyFont="1" applyBorder="1" applyAlignment="1">
      <alignment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4" fontId="20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4" fontId="5" fillId="0" borderId="7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 indent="2"/>
    </xf>
    <xf numFmtId="0" fontId="16" fillId="0" borderId="0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2" fillId="0" borderId="6" xfId="0" applyFont="1" applyBorder="1" applyAlignment="1">
      <alignment horizontal="center" vertical="top" wrapText="1"/>
    </xf>
    <xf numFmtId="0" fontId="17" fillId="0" borderId="0" xfId="0" applyFont="1" applyAlignment="1"/>
    <xf numFmtId="165" fontId="5" fillId="0" borderId="7" xfId="0" applyNumberFormat="1" applyFont="1" applyBorder="1" applyAlignment="1">
      <alignment horizontal="right" vertical="top" wrapText="1"/>
    </xf>
    <xf numFmtId="0" fontId="5" fillId="0" borderId="12" xfId="0" applyFont="1" applyBorder="1"/>
    <xf numFmtId="0" fontId="5" fillId="0" borderId="16" xfId="0" applyFont="1" applyBorder="1"/>
    <xf numFmtId="0" fontId="5" fillId="0" borderId="6" xfId="0" applyFont="1" applyBorder="1"/>
    <xf numFmtId="164" fontId="5" fillId="0" borderId="6" xfId="0" applyNumberFormat="1" applyFont="1" applyBorder="1"/>
    <xf numFmtId="0" fontId="5" fillId="0" borderId="17" xfId="0" applyFont="1" applyBorder="1"/>
    <xf numFmtId="4" fontId="2" fillId="2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8" fillId="2" borderId="0" xfId="0" applyFont="1" applyFill="1"/>
    <xf numFmtId="0" fontId="0" fillId="2" borderId="0" xfId="0" applyFill="1"/>
    <xf numFmtId="0" fontId="0" fillId="0" borderId="18" xfId="0" applyBorder="1"/>
    <xf numFmtId="0" fontId="0" fillId="0" borderId="9" xfId="0" applyBorder="1"/>
    <xf numFmtId="2" fontId="21" fillId="0" borderId="10" xfId="0" applyNumberFormat="1" applyFont="1" applyBorder="1"/>
    <xf numFmtId="0" fontId="0" fillId="0" borderId="7" xfId="0" applyBorder="1"/>
    <xf numFmtId="0" fontId="0" fillId="0" borderId="12" xfId="0" applyBorder="1"/>
    <xf numFmtId="0" fontId="0" fillId="0" borderId="6" xfId="0" applyBorder="1"/>
    <xf numFmtId="0" fontId="21" fillId="0" borderId="12" xfId="0" applyFont="1" applyBorder="1"/>
    <xf numFmtId="4" fontId="20" fillId="0" borderId="15" xfId="0" applyNumberFormat="1" applyFont="1" applyBorder="1" applyAlignment="1">
      <alignment horizontal="center" vertical="center" wrapText="1"/>
    </xf>
    <xf numFmtId="2" fontId="21" fillId="0" borderId="12" xfId="0" applyNumberFormat="1" applyFont="1" applyBorder="1"/>
    <xf numFmtId="0" fontId="21" fillId="0" borderId="6" xfId="0" applyFont="1" applyBorder="1"/>
    <xf numFmtId="0" fontId="23" fillId="0" borderId="12" xfId="0" applyFont="1" applyBorder="1"/>
    <xf numFmtId="0" fontId="22" fillId="0" borderId="12" xfId="0" applyFont="1" applyBorder="1"/>
    <xf numFmtId="2" fontId="21" fillId="0" borderId="6" xfId="0" applyNumberFormat="1" applyFont="1" applyBorder="1"/>
    <xf numFmtId="2" fontId="23" fillId="0" borderId="12" xfId="0" applyNumberFormat="1" applyFont="1" applyBorder="1" applyAlignment="1">
      <alignment horizontal="center" vertical="center"/>
    </xf>
    <xf numFmtId="0" fontId="21" fillId="0" borderId="17" xfId="0" applyFont="1" applyBorder="1"/>
    <xf numFmtId="0" fontId="0" fillId="0" borderId="17" xfId="0" applyBorder="1"/>
    <xf numFmtId="4" fontId="2" fillId="0" borderId="17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2" fontId="0" fillId="0" borderId="12" xfId="0" applyNumberFormat="1" applyBorder="1"/>
    <xf numFmtId="2" fontId="0" fillId="0" borderId="6" xfId="0" applyNumberFormat="1" applyBorder="1"/>
    <xf numFmtId="2" fontId="0" fillId="0" borderId="17" xfId="0" applyNumberFormat="1" applyBorder="1"/>
    <xf numFmtId="4" fontId="12" fillId="2" borderId="7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left"/>
    </xf>
    <xf numFmtId="0" fontId="5" fillId="0" borderId="17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left"/>
    </xf>
    <xf numFmtId="164" fontId="5" fillId="2" borderId="7" xfId="0" applyNumberFormat="1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justify" vertical="top" wrapText="1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5" fillId="0" borderId="11" xfId="0" applyFont="1" applyBorder="1" applyAlignment="1">
      <alignment horizontal="justify" vertical="top" wrapText="1"/>
    </xf>
    <xf numFmtId="0" fontId="13" fillId="2" borderId="0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7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10" xfId="0" applyBorder="1" applyAlignment="1"/>
    <xf numFmtId="0" fontId="5" fillId="0" borderId="11" xfId="0" applyFont="1" applyBorder="1" applyAlignment="1">
      <alignment horizontal="center" vertical="center" wrapText="1"/>
    </xf>
    <xf numFmtId="0" fontId="0" fillId="0" borderId="7" xfId="0" applyBorder="1" applyAlignment="1"/>
    <xf numFmtId="0" fontId="9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66" fontId="12" fillId="2" borderId="7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74;&#1077;&#1090;&#1083;&#1072;&#1085;&#1072;2020\&#1057;&#1074;&#1077;&#1090;&#1083;&#1072;&#1085;&#1072;\&#1058;&#1045;&#1061;.&#1055;&#1088;&#1080;&#1089;.&#1086;&#1090;&#1095;&#1077;&#1090;\2020\&#1056;&#1072;&#1089;&#1095;&#1077;&#1090;%20&#1090;&#1072;&#1088;&#1080;&#1092;&#1072;%20&#1058;&#1055;%20&#1085;&#1072;%202021%20&#1069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69;&#1082;&#1086;&#1085;&#1086;&#1084;&#1080;&#1089;&#1090;&#1099;\&#1069;&#1085;&#1077;&#1088;&#1075;&#1086;-&#1040;&#1083;&#1100;&#1103;&#1085;&#1089;\&#1086;&#1090;&#1095;&#1077;&#1090;&#1085;&#1086;&#1089;&#1090;&#1100;%20&#1045;&#1048;&#1040;&#1057;\&#1069;&#1040;%20CONNECT%202018-2020\2020\CONNECT.EE.1135.TECH(v2.4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-2017"/>
      <sheetName val="Прил2-2018"/>
      <sheetName val="Прил2-2019"/>
      <sheetName val="Прил3а"/>
      <sheetName val="Прил3в"/>
      <sheetName val="Прил3д"/>
      <sheetName val="Прил5"/>
      <sheetName val="Прил4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>
        <row r="8">
          <cell r="D8">
            <v>175</v>
          </cell>
        </row>
      </sheetData>
      <sheetData sheetId="4" refreshError="1">
        <row r="8">
          <cell r="D8">
            <v>1139034.3</v>
          </cell>
          <cell r="F8">
            <v>1016556.1599999999</v>
          </cell>
          <cell r="H8">
            <v>1099043.7500000002</v>
          </cell>
        </row>
      </sheetData>
      <sheetData sheetId="5" refreshError="1">
        <row r="9">
          <cell r="F9">
            <v>804016.10000000009</v>
          </cell>
          <cell r="H9">
            <v>2391062.9</v>
          </cell>
          <cell r="R9">
            <v>2774987.6524999999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modfrmRegion"/>
      <sheetName val="Инструкция"/>
      <sheetName val="Лог обновления"/>
      <sheetName val="Руководство по заполнению"/>
      <sheetName val="Титульный"/>
      <sheetName val="DOCS_DEPENDENCY"/>
      <sheetName val="Прил 1_дог"/>
      <sheetName val="Прил 2_ВЛ"/>
      <sheetName val="Прил 3_КЛ"/>
      <sheetName val="Прил 4_ГНБ"/>
      <sheetName val="Прил 5_РП"/>
      <sheetName val="Прил 6_КРУН_КРН_ПП"/>
      <sheetName val="et_union"/>
      <sheetName val="Прил 7_КУ"/>
      <sheetName val="Прил 8_ТП+РТП"/>
      <sheetName val="Прил 9_ТП"/>
      <sheetName val="TEHSHEET"/>
      <sheetName val="Прил 10 (ФАС №2)"/>
      <sheetName val="Прил 10 (ФАС №2)_ВС"/>
      <sheetName val="Прил 11 (ФАС №3)"/>
      <sheetName val="Прил 11 (ФАС №3)_ВС"/>
      <sheetName val="Свод по организации"/>
      <sheetName val="Комментарии"/>
      <sheetName val="Проверка"/>
      <sheetName val="REESTR_MO"/>
      <sheetName val="REESTR_ORG"/>
      <sheetName val="REESTR_TMPL"/>
      <sheetName val="modFill"/>
      <sheetName val="modThisWorkbook"/>
      <sheetName val="modReestr"/>
      <sheetName val="modProvGeneralProc"/>
      <sheetName val="modHTTP"/>
      <sheetName val="modInstruction"/>
      <sheetName val="modfrmSecretCode"/>
      <sheetName val="modIHLCommandBar"/>
      <sheetName val="modCheckCyan"/>
      <sheetName val="modfrmURL"/>
      <sheetName val="modUpdTemplMain"/>
      <sheetName val="modfrmCheckUpdates"/>
      <sheetName val="AllSheetsInThisWorkbook"/>
      <sheetName val="modClassifierValidate"/>
      <sheetName val="modfrmReestr"/>
      <sheetName val="modfrmListObj"/>
      <sheetName val="modHyp"/>
      <sheetName val="modList00"/>
      <sheetName val="modList02"/>
      <sheetName val="modList03"/>
      <sheetName val="Copy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H13">
            <v>809640.04</v>
          </cell>
        </row>
        <row r="17">
          <cell r="H17">
            <v>1811176.4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59"/>
  <sheetViews>
    <sheetView topLeftCell="A2" zoomScale="120" zoomScaleNormal="120" workbookViewId="0">
      <pane xSplit="2" ySplit="5" topLeftCell="C10" activePane="bottomRight" state="frozen"/>
      <selection activeCell="A2" sqref="A2"/>
      <selection pane="topRight" activeCell="C2" sqref="C2"/>
      <selection pane="bottomLeft" activeCell="A7" sqref="A7"/>
      <selection pane="bottomRight" activeCell="I10" sqref="I10"/>
    </sheetView>
  </sheetViews>
  <sheetFormatPr defaultRowHeight="15" x14ac:dyDescent="0.25"/>
  <cols>
    <col min="2" max="2" width="30.28515625" customWidth="1"/>
    <col min="3" max="3" width="13.7109375" customWidth="1"/>
    <col min="4" max="4" width="12.7109375" customWidth="1"/>
    <col min="5" max="5" width="13.140625" customWidth="1"/>
    <col min="6" max="6" width="13" customWidth="1"/>
    <col min="7" max="7" width="12.85546875" customWidth="1"/>
    <col min="8" max="8" width="9.85546875" customWidth="1"/>
  </cols>
  <sheetData>
    <row r="1" spans="1:8" ht="34.5" customHeight="1" x14ac:dyDescent="0.25">
      <c r="F1" s="95" t="s">
        <v>0</v>
      </c>
      <c r="G1" s="95"/>
    </row>
    <row r="2" spans="1:8" ht="73.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</row>
    <row r="3" spans="1:8" ht="27" customHeight="1" x14ac:dyDescent="0.25">
      <c r="A3" s="97" t="s">
        <v>2</v>
      </c>
      <c r="B3" s="97" t="s">
        <v>3</v>
      </c>
      <c r="C3" s="103" t="s">
        <v>4</v>
      </c>
      <c r="D3" s="104"/>
      <c r="E3" s="105"/>
      <c r="F3" s="100" t="s">
        <v>5</v>
      </c>
      <c r="G3" s="101"/>
      <c r="H3" s="102"/>
    </row>
    <row r="4" spans="1:8" s="1" customFormat="1" ht="12.75" x14ac:dyDescent="0.2">
      <c r="A4" s="98"/>
      <c r="B4" s="99"/>
      <c r="C4" s="97">
        <v>2018</v>
      </c>
      <c r="D4" s="97">
        <v>2019</v>
      </c>
      <c r="E4" s="97">
        <v>2020</v>
      </c>
      <c r="F4" s="97">
        <v>2018</v>
      </c>
      <c r="G4" s="97">
        <v>2019</v>
      </c>
      <c r="H4" s="97">
        <v>2020</v>
      </c>
    </row>
    <row r="5" spans="1:8" s="1" customFormat="1" ht="34.9" customHeight="1" x14ac:dyDescent="0.2">
      <c r="A5" s="98"/>
      <c r="B5" s="99"/>
      <c r="C5" s="97"/>
      <c r="D5" s="97"/>
      <c r="E5" s="97"/>
      <c r="F5" s="97"/>
      <c r="G5" s="97"/>
      <c r="H5" s="97"/>
    </row>
    <row r="6" spans="1:8" s="1" customFormat="1" ht="14.45" customHeight="1" thickBot="1" x14ac:dyDescent="0.25">
      <c r="A6" s="2" t="s">
        <v>6</v>
      </c>
      <c r="B6" s="3" t="s">
        <v>7</v>
      </c>
      <c r="C6" s="5">
        <f t="shared" ref="C6:H6" si="0">C11+C12+C13+C14+C15</f>
        <v>4.8599999999999994</v>
      </c>
      <c r="D6" s="4">
        <f t="shared" si="0"/>
        <v>5.601</v>
      </c>
      <c r="E6" s="4">
        <f t="shared" si="0"/>
        <v>6.4240000000000004</v>
      </c>
      <c r="F6" s="6">
        <f t="shared" si="0"/>
        <v>2496.55915</v>
      </c>
      <c r="G6" s="6">
        <f t="shared" si="0"/>
        <v>3118.5847200000007</v>
      </c>
      <c r="H6" s="49">
        <f t="shared" si="0"/>
        <v>3534.4960000000001</v>
      </c>
    </row>
    <row r="7" spans="1:8" s="1" customFormat="1" ht="39" thickBot="1" x14ac:dyDescent="0.25">
      <c r="A7" s="7" t="s">
        <v>8</v>
      </c>
      <c r="B7" s="3" t="s">
        <v>9</v>
      </c>
      <c r="C7" s="8"/>
      <c r="D7" s="8"/>
      <c r="E7" s="8"/>
      <c r="F7" s="8"/>
      <c r="G7" s="8"/>
      <c r="H7" s="50"/>
    </row>
    <row r="8" spans="1:8" s="1" customFormat="1" ht="39" thickBot="1" x14ac:dyDescent="0.25">
      <c r="A8" s="7" t="s">
        <v>10</v>
      </c>
      <c r="B8" s="3" t="s">
        <v>11</v>
      </c>
      <c r="C8" s="8"/>
      <c r="D8" s="8"/>
      <c r="E8" s="8"/>
      <c r="F8" s="8"/>
      <c r="G8" s="8"/>
      <c r="H8" s="50"/>
    </row>
    <row r="9" spans="1:8" s="1" customFormat="1" ht="39" thickBot="1" x14ac:dyDescent="0.25">
      <c r="A9" s="7" t="s">
        <v>12</v>
      </c>
      <c r="B9" s="3" t="s">
        <v>13</v>
      </c>
      <c r="C9" s="8"/>
      <c r="D9" s="8"/>
      <c r="E9" s="8"/>
      <c r="F9" s="8"/>
      <c r="G9" s="8"/>
      <c r="H9" s="50"/>
    </row>
    <row r="10" spans="1:8" s="1" customFormat="1" ht="122.25" customHeight="1" thickBot="1" x14ac:dyDescent="0.25">
      <c r="A10" s="7" t="s">
        <v>14</v>
      </c>
      <c r="B10" s="3" t="s">
        <v>15</v>
      </c>
      <c r="C10" s="8"/>
      <c r="D10" s="8"/>
      <c r="E10" s="8"/>
      <c r="F10" s="8"/>
      <c r="G10" s="8"/>
      <c r="H10" s="50"/>
    </row>
    <row r="11" spans="1:8" s="1" customFormat="1" ht="13.5" thickBot="1" x14ac:dyDescent="0.25">
      <c r="A11" s="7" t="s">
        <v>16</v>
      </c>
      <c r="B11" s="4" t="s">
        <v>17</v>
      </c>
      <c r="C11" s="4">
        <v>2.1749999999999998</v>
      </c>
      <c r="D11" s="5">
        <v>2.17</v>
      </c>
      <c r="E11" s="85">
        <v>1.03</v>
      </c>
      <c r="F11" s="9">
        <v>801.60646999999994</v>
      </c>
      <c r="G11" s="9">
        <v>778.25878</v>
      </c>
      <c r="H11" s="50">
        <v>717.88800000000003</v>
      </c>
    </row>
    <row r="12" spans="1:8" s="1" customFormat="1" ht="13.5" thickBot="1" x14ac:dyDescent="0.25">
      <c r="A12" s="7" t="s">
        <v>14</v>
      </c>
      <c r="B12" s="4" t="s">
        <v>18</v>
      </c>
      <c r="C12" s="4">
        <v>2.085</v>
      </c>
      <c r="D12" s="4">
        <f>2.339+0.347</f>
        <v>2.6859999999999999</v>
      </c>
      <c r="E12" s="86">
        <v>3.08</v>
      </c>
      <c r="F12" s="9">
        <v>1082.24523</v>
      </c>
      <c r="G12" s="9">
        <f>1412.86028+122.09545</f>
        <v>1534.9557300000001</v>
      </c>
      <c r="H12" s="54">
        <v>948.45</v>
      </c>
    </row>
    <row r="13" spans="1:8" s="1" customFormat="1" ht="13.5" thickBot="1" x14ac:dyDescent="0.25">
      <c r="A13" s="7" t="s">
        <v>19</v>
      </c>
      <c r="B13" s="4" t="s">
        <v>20</v>
      </c>
      <c r="C13" s="5">
        <v>0</v>
      </c>
      <c r="D13" s="4"/>
      <c r="E13" s="4">
        <v>0.748</v>
      </c>
      <c r="F13" s="9">
        <v>-9.2939100000000003</v>
      </c>
      <c r="G13" s="9"/>
      <c r="H13" s="52">
        <v>283.15899999999999</v>
      </c>
    </row>
    <row r="14" spans="1:8" s="1" customFormat="1" ht="13.5" thickBot="1" x14ac:dyDescent="0.25">
      <c r="A14" s="7" t="s">
        <v>21</v>
      </c>
      <c r="B14" s="4" t="s">
        <v>22</v>
      </c>
      <c r="C14" s="5"/>
      <c r="D14" s="4">
        <v>0.54500000000000004</v>
      </c>
      <c r="E14" s="4">
        <v>1.5660000000000001</v>
      </c>
      <c r="F14" s="9"/>
      <c r="G14" s="9">
        <v>466.27809000000002</v>
      </c>
      <c r="H14" s="53">
        <v>1584.999</v>
      </c>
    </row>
    <row r="15" spans="1:8" s="1" customFormat="1" ht="13.5" thickBot="1" x14ac:dyDescent="0.25">
      <c r="A15" s="7" t="s">
        <v>23</v>
      </c>
      <c r="B15" s="4" t="s">
        <v>24</v>
      </c>
      <c r="C15" s="5">
        <v>0.6</v>
      </c>
      <c r="D15" s="5">
        <v>0.2</v>
      </c>
      <c r="E15" s="5"/>
      <c r="F15" s="9">
        <v>622.00135999999998</v>
      </c>
      <c r="G15" s="9">
        <v>339.09212000000002</v>
      </c>
      <c r="H15" s="52"/>
    </row>
    <row r="16" spans="1:8" s="1" customFormat="1" ht="26.1" hidden="1" customHeight="1" thickBot="1" x14ac:dyDescent="0.25">
      <c r="A16" s="7"/>
      <c r="B16" s="4"/>
      <c r="C16" s="4"/>
      <c r="D16" s="4"/>
      <c r="E16" s="4"/>
      <c r="F16" s="6"/>
      <c r="G16" s="10"/>
      <c r="H16" s="51"/>
    </row>
    <row r="17" spans="1:8" s="1" customFormat="1" ht="26.1" hidden="1" customHeight="1" thickBot="1" x14ac:dyDescent="0.25">
      <c r="A17" s="7"/>
      <c r="B17" s="4"/>
      <c r="C17" s="4"/>
      <c r="D17" s="4"/>
      <c r="E17" s="4"/>
      <c r="F17" s="6"/>
      <c r="G17" s="10"/>
      <c r="H17" s="51"/>
    </row>
    <row r="18" spans="1:8" s="1" customFormat="1" ht="26.1" hidden="1" customHeight="1" thickBot="1" x14ac:dyDescent="0.25">
      <c r="A18" s="7"/>
      <c r="B18" s="4"/>
      <c r="C18" s="4"/>
      <c r="D18" s="4"/>
      <c r="E18" s="4"/>
      <c r="F18" s="6"/>
      <c r="G18" s="10"/>
      <c r="H18" s="51"/>
    </row>
    <row r="19" spans="1:8" s="1" customFormat="1" ht="26.1" hidden="1" customHeight="1" thickBot="1" x14ac:dyDescent="0.25">
      <c r="A19" s="7"/>
      <c r="B19" s="4"/>
      <c r="C19" s="4"/>
      <c r="D19" s="4"/>
      <c r="E19" s="4"/>
      <c r="F19" s="6"/>
      <c r="G19" s="10"/>
      <c r="H19" s="51"/>
    </row>
    <row r="20" spans="1:8" s="1" customFormat="1" ht="26.1" hidden="1" customHeight="1" thickBot="1" x14ac:dyDescent="0.25">
      <c r="A20" s="7"/>
      <c r="B20" s="4"/>
      <c r="C20" s="4"/>
      <c r="D20" s="4"/>
      <c r="E20" s="4"/>
      <c r="F20" s="6"/>
      <c r="G20" s="6"/>
      <c r="H20" s="51"/>
    </row>
    <row r="21" spans="1:8" s="1" customFormat="1" ht="26.1" hidden="1" customHeight="1" thickBot="1" x14ac:dyDescent="0.25">
      <c r="A21" s="7"/>
      <c r="B21" s="4"/>
      <c r="C21" s="4"/>
      <c r="D21" s="4"/>
      <c r="E21" s="4"/>
      <c r="F21" s="6"/>
      <c r="G21" s="6"/>
      <c r="H21" s="51"/>
    </row>
    <row r="22" spans="1:8" s="1" customFormat="1" ht="26.1" hidden="1" customHeight="1" thickBot="1" x14ac:dyDescent="0.25">
      <c r="A22" s="7"/>
      <c r="B22" s="4"/>
      <c r="C22" s="4"/>
      <c r="D22" s="4"/>
      <c r="E22" s="4"/>
      <c r="F22" s="6"/>
      <c r="G22" s="6"/>
      <c r="H22" s="51"/>
    </row>
    <row r="23" spans="1:8" s="1" customFormat="1" ht="13.5" thickBot="1" x14ac:dyDescent="0.25">
      <c r="A23" s="7" t="s">
        <v>25</v>
      </c>
      <c r="B23" s="4" t="s">
        <v>26</v>
      </c>
      <c r="C23" s="4"/>
      <c r="D23" s="4"/>
      <c r="E23" s="4"/>
      <c r="F23" s="6"/>
      <c r="G23" s="6"/>
      <c r="H23" s="51"/>
    </row>
    <row r="24" spans="1:8" s="1" customFormat="1" ht="13.5" thickBot="1" x14ac:dyDescent="0.25">
      <c r="A24" s="7"/>
      <c r="B24" s="4" t="s">
        <v>27</v>
      </c>
      <c r="C24" s="4"/>
      <c r="D24" s="4"/>
      <c r="E24" s="4"/>
      <c r="F24" s="6"/>
      <c r="G24" s="6"/>
      <c r="H24" s="54"/>
    </row>
    <row r="25" spans="1:8" s="1" customFormat="1" ht="13.5" thickBot="1" x14ac:dyDescent="0.25">
      <c r="A25" s="7" t="s">
        <v>28</v>
      </c>
      <c r="B25" s="3" t="s">
        <v>29</v>
      </c>
      <c r="C25" s="5">
        <f t="shared" ref="C25:H25" si="1">C30+C31+C32+C33+C34+C35+C36</f>
        <v>0.2</v>
      </c>
      <c r="D25" s="5">
        <f t="shared" si="1"/>
        <v>0</v>
      </c>
      <c r="E25" s="5"/>
      <c r="F25" s="9">
        <f t="shared" si="1"/>
        <v>465.25423999999998</v>
      </c>
      <c r="G25" s="9">
        <f t="shared" si="1"/>
        <v>0</v>
      </c>
      <c r="H25" s="9">
        <f t="shared" si="1"/>
        <v>0</v>
      </c>
    </row>
    <row r="26" spans="1:8" s="1" customFormat="1" ht="64.5" thickBot="1" x14ac:dyDescent="0.25">
      <c r="A26" s="7" t="s">
        <v>30</v>
      </c>
      <c r="B26" s="3" t="s">
        <v>31</v>
      </c>
      <c r="C26" s="4"/>
      <c r="D26" s="4"/>
      <c r="E26" s="4"/>
      <c r="F26" s="4"/>
      <c r="G26" s="4"/>
      <c r="H26" s="52"/>
    </row>
    <row r="27" spans="1:8" s="1" customFormat="1" ht="26.25" thickBot="1" x14ac:dyDescent="0.25">
      <c r="A27" s="7" t="s">
        <v>32</v>
      </c>
      <c r="B27" s="3" t="s">
        <v>33</v>
      </c>
      <c r="C27" s="8"/>
      <c r="D27" s="8"/>
      <c r="E27" s="8"/>
      <c r="F27" s="8"/>
      <c r="G27" s="8"/>
      <c r="H27" s="50"/>
    </row>
    <row r="28" spans="1:8" s="1" customFormat="1" ht="39" thickBot="1" x14ac:dyDescent="0.25">
      <c r="A28" s="7" t="s">
        <v>34</v>
      </c>
      <c r="B28" s="3" t="s">
        <v>35</v>
      </c>
      <c r="C28" s="8"/>
      <c r="D28" s="8"/>
      <c r="E28" s="8"/>
      <c r="F28" s="8"/>
      <c r="G28" s="8"/>
      <c r="H28" s="50"/>
    </row>
    <row r="29" spans="1:8" s="1" customFormat="1" ht="128.25" thickBot="1" x14ac:dyDescent="0.25">
      <c r="A29" s="7" t="s">
        <v>34</v>
      </c>
      <c r="B29" s="3" t="s">
        <v>15</v>
      </c>
      <c r="C29" s="8"/>
      <c r="D29" s="8"/>
      <c r="E29" s="8"/>
      <c r="F29" s="8"/>
      <c r="G29" s="8"/>
      <c r="H29" s="50"/>
    </row>
    <row r="30" spans="1:8" s="1" customFormat="1" ht="19.5" customHeight="1" thickBot="1" x14ac:dyDescent="0.25">
      <c r="A30" s="7"/>
      <c r="B30" s="4" t="s">
        <v>36</v>
      </c>
      <c r="C30" s="4"/>
      <c r="D30" s="4"/>
      <c r="E30" s="4"/>
      <c r="F30" s="6"/>
      <c r="G30" s="6"/>
      <c r="H30" s="50"/>
    </row>
    <row r="31" spans="1:8" s="1" customFormat="1" ht="20.25" customHeight="1" thickBot="1" x14ac:dyDescent="0.25">
      <c r="A31" s="7"/>
      <c r="B31" s="4" t="s">
        <v>37</v>
      </c>
      <c r="C31" s="4"/>
      <c r="D31" s="4"/>
      <c r="E31" s="4"/>
      <c r="F31" s="6"/>
      <c r="G31" s="6"/>
      <c r="H31" s="50"/>
    </row>
    <row r="32" spans="1:8" s="1" customFormat="1" ht="19.5" customHeight="1" thickBot="1" x14ac:dyDescent="0.25">
      <c r="A32" s="7" t="s">
        <v>38</v>
      </c>
      <c r="B32" s="4" t="s">
        <v>39</v>
      </c>
      <c r="C32" s="5">
        <v>0.2</v>
      </c>
      <c r="D32" s="4"/>
      <c r="E32" s="4"/>
      <c r="F32" s="6">
        <f>465254.24/1000</f>
        <v>465.25423999999998</v>
      </c>
      <c r="G32" s="6"/>
      <c r="H32" s="54"/>
    </row>
    <row r="33" spans="1:8" s="1" customFormat="1" ht="18" customHeight="1" thickBot="1" x14ac:dyDescent="0.25">
      <c r="A33" s="7"/>
      <c r="B33" s="4" t="s">
        <v>40</v>
      </c>
      <c r="C33" s="4"/>
      <c r="D33" s="4"/>
      <c r="E33" s="4"/>
      <c r="F33" s="6"/>
      <c r="G33" s="6"/>
      <c r="H33" s="52"/>
    </row>
    <row r="34" spans="1:8" s="1" customFormat="1" ht="18" customHeight="1" thickBot="1" x14ac:dyDescent="0.25">
      <c r="A34" s="7"/>
      <c r="B34" s="4" t="s">
        <v>41</v>
      </c>
      <c r="C34" s="4"/>
      <c r="D34" s="4"/>
      <c r="E34" s="4"/>
      <c r="F34" s="6"/>
      <c r="G34" s="6"/>
      <c r="H34" s="52"/>
    </row>
    <row r="35" spans="1:8" s="1" customFormat="1" ht="20.25" customHeight="1" thickBot="1" x14ac:dyDescent="0.25">
      <c r="A35" s="7"/>
      <c r="B35" s="4" t="s">
        <v>42</v>
      </c>
      <c r="C35" s="4"/>
      <c r="D35" s="4"/>
      <c r="E35" s="4"/>
      <c r="F35" s="6"/>
      <c r="G35" s="6"/>
      <c r="H35" s="52"/>
    </row>
    <row r="36" spans="1:8" s="1" customFormat="1" ht="22.5" customHeight="1" thickBot="1" x14ac:dyDescent="0.25">
      <c r="A36" s="7"/>
      <c r="B36" s="4" t="s">
        <v>43</v>
      </c>
      <c r="C36" s="4"/>
      <c r="D36" s="4"/>
      <c r="E36" s="4"/>
      <c r="F36" s="6"/>
      <c r="G36" s="6"/>
      <c r="H36" s="52"/>
    </row>
    <row r="37" spans="1:8" s="1" customFormat="1" ht="26.25" thickBot="1" x14ac:dyDescent="0.25">
      <c r="A37" s="7" t="s">
        <v>44</v>
      </c>
      <c r="B37" s="3" t="s">
        <v>45</v>
      </c>
      <c r="C37" s="106"/>
      <c r="D37" s="106"/>
      <c r="E37" s="106"/>
      <c r="F37" s="106"/>
      <c r="G37" s="107"/>
      <c r="H37" s="50"/>
    </row>
    <row r="38" spans="1:8" s="1" customFormat="1" ht="51.75" thickBot="1" x14ac:dyDescent="0.25">
      <c r="A38" s="7" t="s">
        <v>46</v>
      </c>
      <c r="B38" s="3" t="s">
        <v>47</v>
      </c>
      <c r="C38" s="108"/>
      <c r="D38" s="108"/>
      <c r="E38" s="108"/>
      <c r="F38" s="108"/>
      <c r="G38" s="109"/>
      <c r="H38" s="51"/>
    </row>
    <row r="39" spans="1:8" s="1" customFormat="1" ht="64.5" thickBot="1" x14ac:dyDescent="0.25">
      <c r="A39" s="7" t="s">
        <v>48</v>
      </c>
      <c r="B39" s="3" t="s">
        <v>49</v>
      </c>
      <c r="C39" s="110"/>
      <c r="D39" s="110"/>
      <c r="E39" s="110"/>
      <c r="F39" s="110"/>
      <c r="G39" s="111"/>
      <c r="H39" s="52"/>
    </row>
    <row r="40" spans="1:8" s="1" customFormat="1" ht="77.25" thickBot="1" x14ac:dyDescent="0.25">
      <c r="A40" s="7" t="s">
        <v>50</v>
      </c>
      <c r="B40" s="3" t="s">
        <v>51</v>
      </c>
      <c r="C40" s="8"/>
      <c r="D40" s="8"/>
      <c r="E40" s="8"/>
      <c r="F40" s="8"/>
      <c r="G40" s="8"/>
      <c r="H40" s="50"/>
    </row>
    <row r="41" spans="1:8" s="1" customFormat="1" ht="64.5" thickBot="1" x14ac:dyDescent="0.25">
      <c r="A41" s="7" t="s">
        <v>52</v>
      </c>
      <c r="B41" s="3" t="s">
        <v>53</v>
      </c>
      <c r="C41" s="8"/>
      <c r="D41" s="8"/>
      <c r="E41" s="8"/>
      <c r="F41" s="8"/>
      <c r="G41" s="8"/>
      <c r="H41" s="50"/>
    </row>
    <row r="42" spans="1:8" s="1" customFormat="1" ht="39" thickBot="1" x14ac:dyDescent="0.25">
      <c r="A42" s="7" t="s">
        <v>54</v>
      </c>
      <c r="B42" s="3" t="s">
        <v>55</v>
      </c>
      <c r="C42" s="8"/>
      <c r="D42" s="8"/>
      <c r="E42" s="8"/>
      <c r="F42" s="8"/>
      <c r="G42" s="8"/>
      <c r="H42" s="50"/>
    </row>
    <row r="43" spans="1:8" s="1" customFormat="1" ht="90" thickBot="1" x14ac:dyDescent="0.25">
      <c r="A43" s="7" t="s">
        <v>56</v>
      </c>
      <c r="B43" s="3" t="s">
        <v>57</v>
      </c>
      <c r="C43" s="8"/>
      <c r="D43" s="8"/>
      <c r="E43" s="8"/>
      <c r="F43" s="8"/>
      <c r="G43" s="8"/>
      <c r="H43" s="52"/>
    </row>
    <row r="44" spans="1:8" s="1" customFormat="1" ht="26.1" customHeight="1" thickBot="1" x14ac:dyDescent="0.25">
      <c r="A44" s="7" t="s">
        <v>58</v>
      </c>
      <c r="B44" s="3" t="s">
        <v>59</v>
      </c>
      <c r="C44" s="4"/>
      <c r="D44" s="4"/>
      <c r="E44" s="4"/>
      <c r="F44" s="6"/>
      <c r="G44" s="6"/>
      <c r="H44" s="52"/>
    </row>
    <row r="45" spans="1:8" s="1" customFormat="1" ht="26.1" customHeight="1" thickBot="1" x14ac:dyDescent="0.25">
      <c r="A45" s="7" t="s">
        <v>60</v>
      </c>
      <c r="B45" s="3" t="s">
        <v>61</v>
      </c>
      <c r="C45" s="4"/>
      <c r="D45" s="4"/>
      <c r="E45" s="4"/>
      <c r="F45" s="6"/>
      <c r="G45" s="6"/>
      <c r="H45" s="52"/>
    </row>
    <row r="46" spans="1:8" s="1" customFormat="1" ht="26.1" customHeight="1" thickBot="1" x14ac:dyDescent="0.25">
      <c r="A46" s="7" t="s">
        <v>60</v>
      </c>
      <c r="B46" s="3" t="s">
        <v>62</v>
      </c>
      <c r="C46" s="4"/>
      <c r="D46" s="4"/>
      <c r="E46" s="4"/>
      <c r="F46" s="6"/>
      <c r="G46" s="6"/>
      <c r="H46" s="50"/>
    </row>
    <row r="47" spans="1:8" s="1" customFormat="1" ht="26.1" customHeight="1" thickBot="1" x14ac:dyDescent="0.25">
      <c r="A47" s="7" t="s">
        <v>63</v>
      </c>
      <c r="B47" s="3" t="s">
        <v>64</v>
      </c>
      <c r="C47" s="4"/>
      <c r="D47" s="4"/>
      <c r="E47" s="4"/>
      <c r="F47" s="6"/>
      <c r="G47" s="6"/>
      <c r="H47" s="50"/>
    </row>
    <row r="48" spans="1:8" s="1" customFormat="1" ht="26.1" customHeight="1" thickBot="1" x14ac:dyDescent="0.25">
      <c r="A48" s="7" t="s">
        <v>65</v>
      </c>
      <c r="B48" s="3" t="s">
        <v>66</v>
      </c>
      <c r="C48" s="4"/>
      <c r="D48" s="4"/>
      <c r="E48" s="4"/>
      <c r="F48" s="6"/>
      <c r="G48" s="6"/>
      <c r="H48" s="50"/>
    </row>
    <row r="49" spans="1:8" s="1" customFormat="1" ht="26.1" customHeight="1" thickBot="1" x14ac:dyDescent="0.25">
      <c r="A49" s="7" t="s">
        <v>67</v>
      </c>
      <c r="B49" s="3" t="s">
        <v>68</v>
      </c>
      <c r="C49" s="4"/>
      <c r="D49" s="4"/>
      <c r="E49" s="4"/>
      <c r="F49" s="6"/>
      <c r="G49" s="6"/>
      <c r="H49" s="50"/>
    </row>
    <row r="50" spans="1:8" s="1" customFormat="1" ht="26.1" customHeight="1" thickBot="1" x14ac:dyDescent="0.25">
      <c r="A50" s="7" t="s">
        <v>69</v>
      </c>
      <c r="B50" s="3" t="s">
        <v>64</v>
      </c>
      <c r="C50" s="4"/>
      <c r="D50" s="4"/>
      <c r="E50" s="4"/>
      <c r="F50" s="6"/>
      <c r="G50" s="6"/>
      <c r="H50" s="54"/>
    </row>
    <row r="51" spans="1:8" s="1" customFormat="1" ht="26.1" customHeight="1" thickBot="1" x14ac:dyDescent="0.25">
      <c r="A51" s="7" t="s">
        <v>70</v>
      </c>
      <c r="B51" s="3" t="s">
        <v>66</v>
      </c>
      <c r="C51" s="4"/>
      <c r="D51" s="4"/>
      <c r="E51" s="4"/>
      <c r="F51" s="6"/>
      <c r="G51" s="6"/>
      <c r="H51" s="52"/>
    </row>
    <row r="52" spans="1:8" s="1" customFormat="1" ht="13.5" thickBot="1" x14ac:dyDescent="0.25">
      <c r="A52" s="7"/>
      <c r="B52" s="3"/>
      <c r="C52" s="4"/>
      <c r="D52" s="4"/>
      <c r="E52" s="4"/>
      <c r="F52" s="11"/>
      <c r="G52" s="11"/>
      <c r="H52" s="52"/>
    </row>
    <row r="53" spans="1:8" s="1" customFormat="1" ht="39" thickBot="1" x14ac:dyDescent="0.25">
      <c r="A53" s="7" t="s">
        <v>71</v>
      </c>
      <c r="B53" s="3" t="s">
        <v>72</v>
      </c>
      <c r="C53" s="106"/>
      <c r="D53" s="106"/>
      <c r="E53" s="106"/>
      <c r="F53" s="106"/>
      <c r="G53" s="107"/>
      <c r="H53" s="51"/>
    </row>
    <row r="54" spans="1:8" s="1" customFormat="1" ht="26.25" thickBot="1" x14ac:dyDescent="0.25">
      <c r="A54" s="7" t="s">
        <v>73</v>
      </c>
      <c r="B54" s="3" t="s">
        <v>74</v>
      </c>
      <c r="C54" s="110"/>
      <c r="D54" s="110"/>
      <c r="E54" s="110"/>
      <c r="F54" s="110"/>
      <c r="G54" s="111"/>
      <c r="H54" s="52"/>
    </row>
    <row r="59" spans="1:8" x14ac:dyDescent="0.25">
      <c r="B59" t="s">
        <v>75</v>
      </c>
    </row>
  </sheetData>
  <mergeCells count="14">
    <mergeCell ref="C37:G39"/>
    <mergeCell ref="C53:G54"/>
    <mergeCell ref="F1:G1"/>
    <mergeCell ref="A2:H2"/>
    <mergeCell ref="A3:A5"/>
    <mergeCell ref="B3:B5"/>
    <mergeCell ref="F3:H3"/>
    <mergeCell ref="C4:C5"/>
    <mergeCell ref="D4:D5"/>
    <mergeCell ref="E4:E5"/>
    <mergeCell ref="C3:E3"/>
    <mergeCell ref="H4:H5"/>
    <mergeCell ref="F4:F5"/>
    <mergeCell ref="G4:G5"/>
  </mergeCells>
  <pageMargins left="0.31496062992125984" right="0.31496062992125984" top="0.35433070866141736" bottom="0.35433070866141736" header="0.31496062992125984" footer="0.31496062992125984"/>
  <pageSetup paperSize="9" scale="6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18"/>
  <sheetViews>
    <sheetView workbookViewId="0">
      <selection activeCell="J16" sqref="J16:J17"/>
    </sheetView>
  </sheetViews>
  <sheetFormatPr defaultRowHeight="15" x14ac:dyDescent="0.25"/>
  <cols>
    <col min="1" max="1" width="4.42578125" customWidth="1"/>
    <col min="2" max="2" width="31.28515625" customWidth="1"/>
    <col min="3" max="3" width="21" customWidth="1"/>
    <col min="4" max="4" width="18.28515625" customWidth="1"/>
    <col min="5" max="5" width="17.28515625" customWidth="1"/>
    <col min="6" max="6" width="18" customWidth="1"/>
  </cols>
  <sheetData>
    <row r="1" spans="1:6" ht="34.5" x14ac:dyDescent="0.25">
      <c r="A1" s="12" t="s">
        <v>76</v>
      </c>
      <c r="F1" s="13" t="s">
        <v>77</v>
      </c>
    </row>
    <row r="2" spans="1:6" ht="40.9" customHeight="1" x14ac:dyDescent="0.25">
      <c r="A2" s="112" t="s">
        <v>89</v>
      </c>
      <c r="B2" s="112"/>
      <c r="C2" s="112"/>
      <c r="D2" s="112"/>
      <c r="E2" s="112"/>
      <c r="F2" s="112"/>
    </row>
    <row r="3" spans="1:6" ht="15.75" thickBot="1" x14ac:dyDescent="0.3"/>
    <row r="4" spans="1:6" s="15" customFormat="1" ht="33.75" customHeight="1" thickBot="1" x14ac:dyDescent="0.25">
      <c r="A4" s="113" t="s">
        <v>78</v>
      </c>
      <c r="B4" s="113" t="s">
        <v>79</v>
      </c>
      <c r="C4" s="116" t="s">
        <v>80</v>
      </c>
      <c r="D4" s="117"/>
      <c r="E4" s="118"/>
      <c r="F4" s="14"/>
    </row>
    <row r="5" spans="1:6" s="15" customFormat="1" ht="60" customHeight="1" x14ac:dyDescent="0.2">
      <c r="A5" s="114"/>
      <c r="B5" s="114"/>
      <c r="C5" s="113" t="s">
        <v>81</v>
      </c>
      <c r="D5" s="16" t="s">
        <v>82</v>
      </c>
      <c r="E5" s="113" t="s">
        <v>83</v>
      </c>
      <c r="F5" s="113" t="s">
        <v>84</v>
      </c>
    </row>
    <row r="6" spans="1:6" s="15" customFormat="1" ht="15.75" thickBot="1" x14ac:dyDescent="0.25">
      <c r="A6" s="115"/>
      <c r="B6" s="115"/>
      <c r="C6" s="115"/>
      <c r="D6" s="17" t="s">
        <v>85</v>
      </c>
      <c r="E6" s="115"/>
      <c r="F6" s="115"/>
    </row>
    <row r="7" spans="1:6" s="15" customFormat="1" ht="15.75" thickBot="1" x14ac:dyDescent="0.25">
      <c r="A7" s="18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</row>
    <row r="8" spans="1:6" s="15" customFormat="1" ht="51.75" customHeight="1" thickBot="1" x14ac:dyDescent="0.25">
      <c r="A8" s="18" t="s">
        <v>6</v>
      </c>
      <c r="B8" s="19" t="s">
        <v>86</v>
      </c>
      <c r="C8" s="20">
        <f>[1]Прил3а!F8</f>
        <v>1016556.1599999999</v>
      </c>
      <c r="D8" s="19">
        <v>157</v>
      </c>
      <c r="E8" s="21">
        <f>528+457+468.13+318.6</f>
        <v>1771.73</v>
      </c>
      <c r="F8" s="22">
        <f>C8/D8</f>
        <v>6474.8799999999992</v>
      </c>
    </row>
    <row r="9" spans="1:6" s="15" customFormat="1" ht="51.75" customHeight="1" thickBot="1" x14ac:dyDescent="0.25">
      <c r="A9" s="18" t="s">
        <v>28</v>
      </c>
      <c r="B9" s="19" t="s">
        <v>87</v>
      </c>
      <c r="C9" s="20">
        <f>[1]Прил3в!H9</f>
        <v>2391062.9</v>
      </c>
      <c r="D9" s="19">
        <v>157</v>
      </c>
      <c r="E9" s="21">
        <f>E8</f>
        <v>1771.73</v>
      </c>
      <c r="F9" s="22">
        <f>C9/D9</f>
        <v>15229.699999999999</v>
      </c>
    </row>
    <row r="15" spans="1:6" x14ac:dyDescent="0.25">
      <c r="B15" s="23" t="s">
        <v>90</v>
      </c>
      <c r="D15" s="23" t="s">
        <v>91</v>
      </c>
    </row>
    <row r="18" spans="2:2" x14ac:dyDescent="0.25">
      <c r="B18" t="s">
        <v>88</v>
      </c>
    </row>
  </sheetData>
  <mergeCells count="7">
    <mergeCell ref="A2:F2"/>
    <mergeCell ref="A4:A6"/>
    <mergeCell ref="B4:B6"/>
    <mergeCell ref="C4:E4"/>
    <mergeCell ref="C5:C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15"/>
  <sheetViews>
    <sheetView workbookViewId="0">
      <selection activeCell="E8" sqref="E8"/>
    </sheetView>
  </sheetViews>
  <sheetFormatPr defaultRowHeight="15" x14ac:dyDescent="0.25"/>
  <cols>
    <col min="1" max="1" width="4.42578125" customWidth="1"/>
    <col min="2" max="2" width="31.28515625" customWidth="1"/>
    <col min="3" max="3" width="21" customWidth="1"/>
    <col min="4" max="4" width="18.28515625" customWidth="1"/>
    <col min="5" max="5" width="17.28515625" customWidth="1"/>
    <col min="6" max="6" width="18" customWidth="1"/>
  </cols>
  <sheetData>
    <row r="1" spans="1:6" ht="34.5" x14ac:dyDescent="0.25">
      <c r="A1" s="12" t="s">
        <v>76</v>
      </c>
      <c r="F1" s="13" t="s">
        <v>77</v>
      </c>
    </row>
    <row r="2" spans="1:6" ht="40.9" customHeight="1" x14ac:dyDescent="0.25">
      <c r="A2" s="112" t="s">
        <v>92</v>
      </c>
      <c r="B2" s="112"/>
      <c r="C2" s="112"/>
      <c r="D2" s="112"/>
      <c r="E2" s="112"/>
      <c r="F2" s="112"/>
    </row>
    <row r="3" spans="1:6" ht="15.75" thickBot="1" x14ac:dyDescent="0.3"/>
    <row r="4" spans="1:6" s="15" customFormat="1" ht="33.75" customHeight="1" thickBot="1" x14ac:dyDescent="0.25">
      <c r="A4" s="113" t="s">
        <v>78</v>
      </c>
      <c r="B4" s="113" t="s">
        <v>79</v>
      </c>
      <c r="C4" s="116" t="s">
        <v>80</v>
      </c>
      <c r="D4" s="117"/>
      <c r="E4" s="118"/>
      <c r="F4" s="14"/>
    </row>
    <row r="5" spans="1:6" s="15" customFormat="1" ht="60" customHeight="1" x14ac:dyDescent="0.2">
      <c r="A5" s="114"/>
      <c r="B5" s="114"/>
      <c r="C5" s="113" t="s">
        <v>81</v>
      </c>
      <c r="D5" s="16" t="s">
        <v>82</v>
      </c>
      <c r="E5" s="113" t="s">
        <v>83</v>
      </c>
      <c r="F5" s="113" t="s">
        <v>84</v>
      </c>
    </row>
    <row r="6" spans="1:6" s="15" customFormat="1" ht="15.75" thickBot="1" x14ac:dyDescent="0.25">
      <c r="A6" s="115"/>
      <c r="B6" s="115"/>
      <c r="C6" s="115"/>
      <c r="D6" s="17" t="s">
        <v>85</v>
      </c>
      <c r="E6" s="115"/>
      <c r="F6" s="115"/>
    </row>
    <row r="7" spans="1:6" s="15" customFormat="1" ht="15.75" thickBot="1" x14ac:dyDescent="0.25">
      <c r="A7" s="18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</row>
    <row r="8" spans="1:6" s="15" customFormat="1" ht="51.75" customHeight="1" thickBot="1" x14ac:dyDescent="0.25">
      <c r="A8" s="18" t="s">
        <v>6</v>
      </c>
      <c r="B8" s="19" t="s">
        <v>86</v>
      </c>
      <c r="C8" s="20">
        <f>[1]Прил3а!H8</f>
        <v>1099043.7500000002</v>
      </c>
      <c r="D8" s="19">
        <v>175</v>
      </c>
      <c r="E8" s="21">
        <f>528+457+468.13+318.6</f>
        <v>1771.73</v>
      </c>
      <c r="F8" s="22">
        <f>C8/D8</f>
        <v>6280.2500000000009</v>
      </c>
    </row>
    <row r="9" spans="1:6" s="15" customFormat="1" ht="51.75" customHeight="1" thickBot="1" x14ac:dyDescent="0.25">
      <c r="A9" s="18" t="s">
        <v>28</v>
      </c>
      <c r="B9" s="19" t="s">
        <v>87</v>
      </c>
      <c r="C9" s="20">
        <f>[1]Прил3в!R9</f>
        <v>2774987.6524999999</v>
      </c>
      <c r="D9" s="19">
        <v>175</v>
      </c>
      <c r="E9" s="21">
        <f>E8</f>
        <v>1771.73</v>
      </c>
      <c r="F9" s="22">
        <f>C9/D9</f>
        <v>15857.0723</v>
      </c>
    </row>
    <row r="15" spans="1:6" x14ac:dyDescent="0.25">
      <c r="B15" s="23" t="s">
        <v>90</v>
      </c>
      <c r="D15" s="23" t="s">
        <v>91</v>
      </c>
    </row>
  </sheetData>
  <mergeCells count="7">
    <mergeCell ref="A2:F2"/>
    <mergeCell ref="A4:A6"/>
    <mergeCell ref="B4:B6"/>
    <mergeCell ref="C4:E4"/>
    <mergeCell ref="C5:C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K12" sqref="K12"/>
    </sheetView>
  </sheetViews>
  <sheetFormatPr defaultRowHeight="15" x14ac:dyDescent="0.25"/>
  <cols>
    <col min="1" max="1" width="4.42578125" customWidth="1"/>
    <col min="2" max="2" width="31.28515625" customWidth="1"/>
    <col min="3" max="3" width="21" customWidth="1"/>
    <col min="4" max="4" width="18.28515625" customWidth="1"/>
    <col min="5" max="5" width="17.28515625" customWidth="1"/>
    <col min="6" max="6" width="18" customWidth="1"/>
  </cols>
  <sheetData>
    <row r="1" spans="1:6" ht="34.5" x14ac:dyDescent="0.25">
      <c r="A1" s="12" t="s">
        <v>76</v>
      </c>
      <c r="F1" s="46" t="s">
        <v>77</v>
      </c>
    </row>
    <row r="2" spans="1:6" ht="40.9" customHeight="1" x14ac:dyDescent="0.25">
      <c r="A2" s="112" t="s">
        <v>160</v>
      </c>
      <c r="B2" s="112"/>
      <c r="C2" s="112"/>
      <c r="D2" s="112"/>
      <c r="E2" s="112"/>
      <c r="F2" s="112"/>
    </row>
    <row r="3" spans="1:6" ht="15.75" thickBot="1" x14ac:dyDescent="0.3"/>
    <row r="4" spans="1:6" s="15" customFormat="1" ht="33.75" customHeight="1" thickBot="1" x14ac:dyDescent="0.25">
      <c r="A4" s="113" t="s">
        <v>78</v>
      </c>
      <c r="B4" s="113" t="s">
        <v>79</v>
      </c>
      <c r="C4" s="116" t="s">
        <v>80</v>
      </c>
      <c r="D4" s="117"/>
      <c r="E4" s="118"/>
      <c r="F4" s="14"/>
    </row>
    <row r="5" spans="1:6" s="15" customFormat="1" ht="60" customHeight="1" x14ac:dyDescent="0.2">
      <c r="A5" s="114"/>
      <c r="B5" s="114"/>
      <c r="C5" s="113" t="s">
        <v>81</v>
      </c>
      <c r="D5" s="16" t="s">
        <v>82</v>
      </c>
      <c r="E5" s="113" t="s">
        <v>83</v>
      </c>
      <c r="F5" s="113" t="s">
        <v>84</v>
      </c>
    </row>
    <row r="6" spans="1:6" s="15" customFormat="1" ht="15.75" thickBot="1" x14ac:dyDescent="0.25">
      <c r="A6" s="115"/>
      <c r="B6" s="115"/>
      <c r="C6" s="115"/>
      <c r="D6" s="17" t="s">
        <v>85</v>
      </c>
      <c r="E6" s="115"/>
      <c r="F6" s="115"/>
    </row>
    <row r="7" spans="1:6" s="15" customFormat="1" ht="15.75" thickBot="1" x14ac:dyDescent="0.25">
      <c r="A7" s="4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</row>
    <row r="8" spans="1:6" s="15" customFormat="1" ht="51.75" customHeight="1" thickBot="1" x14ac:dyDescent="0.25">
      <c r="A8" s="47" t="s">
        <v>6</v>
      </c>
      <c r="B8" s="19" t="s">
        <v>86</v>
      </c>
      <c r="C8" s="80">
        <f>'[2]Прил 10 (ФАС №2)'!$H$13</f>
        <v>809640.04</v>
      </c>
      <c r="D8" s="19">
        <v>121</v>
      </c>
      <c r="E8" s="123">
        <v>1329.5</v>
      </c>
      <c r="F8" s="22">
        <f>C8/D8</f>
        <v>6691.2400000000007</v>
      </c>
    </row>
    <row r="9" spans="1:6" s="15" customFormat="1" ht="51.75" customHeight="1" thickBot="1" x14ac:dyDescent="0.25">
      <c r="A9" s="47" t="s">
        <v>28</v>
      </c>
      <c r="B9" s="19" t="s">
        <v>87</v>
      </c>
      <c r="C9" s="80">
        <f>'[2]Прил 10 (ФАС №2)'!$H$17</f>
        <v>1811176.4</v>
      </c>
      <c r="D9" s="19">
        <f>D8</f>
        <v>121</v>
      </c>
      <c r="E9" s="123">
        <f>E8</f>
        <v>1329.5</v>
      </c>
      <c r="F9" s="22">
        <f>C9/D9</f>
        <v>14968.4</v>
      </c>
    </row>
    <row r="15" spans="1:6" x14ac:dyDescent="0.25">
      <c r="B15" s="23" t="s">
        <v>90</v>
      </c>
      <c r="D15" s="23" t="s">
        <v>91</v>
      </c>
    </row>
  </sheetData>
  <mergeCells count="7">
    <mergeCell ref="A2:F2"/>
    <mergeCell ref="A4:A6"/>
    <mergeCell ref="B4:B6"/>
    <mergeCell ref="C4:E4"/>
    <mergeCell ref="C5:C6"/>
    <mergeCell ref="E5:E6"/>
    <mergeCell ref="F5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9"/>
  <sheetViews>
    <sheetView topLeftCell="A4" zoomScale="110" zoomScaleNormal="110" workbookViewId="0">
      <selection activeCell="R8" sqref="R8"/>
    </sheetView>
  </sheetViews>
  <sheetFormatPr defaultRowHeight="15" x14ac:dyDescent="0.25"/>
  <cols>
    <col min="1" max="1" width="12.7109375" style="15" customWidth="1"/>
    <col min="2" max="2" width="35.140625" style="15" customWidth="1"/>
    <col min="3" max="3" width="12.28515625" customWidth="1"/>
    <col min="4" max="4" width="16.7109375" customWidth="1"/>
    <col min="5" max="5" width="10.28515625" customWidth="1"/>
    <col min="6" max="6" width="17.140625" customWidth="1"/>
    <col min="7" max="7" width="11.5703125" customWidth="1"/>
    <col min="8" max="8" width="13.85546875" customWidth="1"/>
    <col min="9" max="16" width="0" hidden="1" customWidth="1"/>
    <col min="17" max="17" width="11.85546875" customWidth="1"/>
    <col min="18" max="18" width="14" customWidth="1"/>
  </cols>
  <sheetData>
    <row r="1" spans="1:20" ht="34.5" x14ac:dyDescent="0.25">
      <c r="A1" s="12" t="s">
        <v>76</v>
      </c>
      <c r="H1" s="13" t="s">
        <v>93</v>
      </c>
    </row>
    <row r="2" spans="1:20" ht="69" customHeight="1" x14ac:dyDescent="0.25">
      <c r="A2" s="119" t="s">
        <v>159</v>
      </c>
      <c r="B2" s="119"/>
      <c r="C2" s="119"/>
      <c r="D2" s="119"/>
      <c r="E2" s="119"/>
      <c r="F2" s="119"/>
      <c r="G2" s="119"/>
      <c r="H2" s="119"/>
    </row>
    <row r="3" spans="1:20" ht="19.899999999999999" customHeight="1" x14ac:dyDescent="0.25">
      <c r="A3" s="48" t="s">
        <v>94</v>
      </c>
      <c r="B3" s="48"/>
      <c r="C3" s="48"/>
      <c r="D3" s="48"/>
      <c r="E3" s="48"/>
      <c r="F3" s="48"/>
      <c r="G3" s="48"/>
      <c r="H3" s="24"/>
    </row>
    <row r="4" spans="1:20" ht="19.899999999999999" customHeight="1" thickBot="1" x14ac:dyDescent="0.3">
      <c r="A4" s="25"/>
    </row>
    <row r="5" spans="1:20" s="15" customFormat="1" ht="29.45" customHeight="1" x14ac:dyDescent="0.2">
      <c r="A5" s="120" t="s">
        <v>78</v>
      </c>
      <c r="B5" s="120" t="s">
        <v>95</v>
      </c>
      <c r="C5" s="26" t="s">
        <v>96</v>
      </c>
      <c r="D5" s="26" t="s">
        <v>97</v>
      </c>
      <c r="E5" s="26" t="s">
        <v>98</v>
      </c>
      <c r="F5" s="26" t="s">
        <v>97</v>
      </c>
      <c r="G5" s="26" t="s">
        <v>98</v>
      </c>
      <c r="H5" s="26" t="s">
        <v>97</v>
      </c>
      <c r="Q5" s="26" t="s">
        <v>98</v>
      </c>
      <c r="R5" s="26" t="s">
        <v>97</v>
      </c>
    </row>
    <row r="6" spans="1:20" s="15" customFormat="1" ht="26.25" thickBot="1" x14ac:dyDescent="0.25">
      <c r="A6" s="121"/>
      <c r="B6" s="121"/>
      <c r="C6" s="27" t="s">
        <v>99</v>
      </c>
      <c r="D6" s="27">
        <v>2017</v>
      </c>
      <c r="E6" s="27" t="s">
        <v>100</v>
      </c>
      <c r="F6" s="27">
        <v>2018</v>
      </c>
      <c r="G6" s="27" t="s">
        <v>101</v>
      </c>
      <c r="H6" s="27">
        <v>2019</v>
      </c>
      <c r="Q6" s="27" t="s">
        <v>161</v>
      </c>
      <c r="R6" s="27">
        <v>2020</v>
      </c>
      <c r="T6" s="56"/>
    </row>
    <row r="7" spans="1:20" s="30" customFormat="1" ht="12" thickBot="1" x14ac:dyDescent="0.25">
      <c r="A7" s="28">
        <v>1</v>
      </c>
      <c r="B7" s="29">
        <v>2</v>
      </c>
      <c r="C7" s="29">
        <v>4</v>
      </c>
      <c r="D7" s="29"/>
      <c r="E7" s="29">
        <v>5</v>
      </c>
      <c r="F7" s="29"/>
      <c r="G7" s="29">
        <v>5</v>
      </c>
      <c r="H7" s="29"/>
      <c r="I7" s="30">
        <v>2014</v>
      </c>
      <c r="J7" s="30">
        <v>2015</v>
      </c>
      <c r="O7" s="30">
        <v>2016</v>
      </c>
      <c r="Q7" s="29">
        <v>5</v>
      </c>
      <c r="R7" s="29"/>
      <c r="T7" s="57"/>
    </row>
    <row r="8" spans="1:20" ht="26.25" thickBot="1" x14ac:dyDescent="0.3">
      <c r="A8" s="31" t="s">
        <v>6</v>
      </c>
      <c r="B8" s="3" t="s">
        <v>102</v>
      </c>
      <c r="C8" s="32">
        <f>C9+C10+C11+C12+C13+C22</f>
        <v>5781.9000000000005</v>
      </c>
      <c r="D8" s="32">
        <f>C8*197</f>
        <v>1139034.3</v>
      </c>
      <c r="E8" s="32">
        <f>E9+E10+E11+E12+E13+E22</f>
        <v>6474.8799999999992</v>
      </c>
      <c r="F8" s="32">
        <f>E8*157</f>
        <v>1016556.1599999999</v>
      </c>
      <c r="G8" s="32">
        <f>G9+G10+G11+G12+G13+G22</f>
        <v>6280.2500000000009</v>
      </c>
      <c r="H8" s="32">
        <f>G8*175</f>
        <v>1099043.7500000002</v>
      </c>
      <c r="I8">
        <v>1705.5</v>
      </c>
      <c r="J8" s="33">
        <v>4539.1000000000004</v>
      </c>
      <c r="L8">
        <v>5842.45</v>
      </c>
      <c r="M8">
        <v>100</v>
      </c>
      <c r="O8">
        <v>5781.9</v>
      </c>
      <c r="Q8" s="55">
        <f>Q9+Q10+Q11+Q12+Q13+Q22</f>
        <v>6691.2399999999989</v>
      </c>
      <c r="R8" s="55">
        <f>Q8*121</f>
        <v>809640.03999999992</v>
      </c>
      <c r="T8" s="58"/>
    </row>
    <row r="9" spans="1:20" ht="16.5" thickBot="1" x14ac:dyDescent="0.3">
      <c r="A9" s="34" t="s">
        <v>103</v>
      </c>
      <c r="B9" s="35" t="s">
        <v>104</v>
      </c>
      <c r="C9" s="36"/>
      <c r="D9" s="36"/>
      <c r="E9" s="36"/>
      <c r="F9" s="36"/>
      <c r="G9" s="36"/>
      <c r="H9" s="36"/>
      <c r="J9" t="s">
        <v>105</v>
      </c>
      <c r="Q9" s="59"/>
      <c r="R9" s="60"/>
    </row>
    <row r="10" spans="1:20" ht="16.5" thickBot="1" x14ac:dyDescent="0.3">
      <c r="A10" s="34" t="s">
        <v>106</v>
      </c>
      <c r="B10" s="35" t="s">
        <v>107</v>
      </c>
      <c r="C10" s="36"/>
      <c r="D10" s="36"/>
      <c r="E10" s="36"/>
      <c r="F10" s="36"/>
      <c r="G10" s="36"/>
      <c r="H10" s="36"/>
      <c r="J10" s="33"/>
      <c r="Q10" s="63"/>
      <c r="R10" s="74"/>
    </row>
    <row r="11" spans="1:20" ht="16.5" thickBot="1" x14ac:dyDescent="0.3">
      <c r="A11" s="34" t="s">
        <v>8</v>
      </c>
      <c r="B11" s="35" t="s">
        <v>108</v>
      </c>
      <c r="C11" s="36">
        <v>3299.15</v>
      </c>
      <c r="D11" s="36">
        <f>C11*197</f>
        <v>649932.55000000005</v>
      </c>
      <c r="E11" s="36">
        <v>3690.68</v>
      </c>
      <c r="F11" s="36">
        <f>E11*157</f>
        <v>579436.76</v>
      </c>
      <c r="G11" s="36">
        <v>3579.78</v>
      </c>
      <c r="H11" s="36">
        <f>G11*175</f>
        <v>626461.5</v>
      </c>
      <c r="I11">
        <f>I8*0.5706</f>
        <v>973.15829999999994</v>
      </c>
      <c r="J11">
        <f>J8*0.5706</f>
        <v>2590.01046</v>
      </c>
      <c r="K11">
        <v>57.06</v>
      </c>
      <c r="L11">
        <v>3333.55</v>
      </c>
      <c r="M11">
        <f>L11*M8/L8</f>
        <v>57.057398865202103</v>
      </c>
      <c r="O11">
        <f>O8*0.5706</f>
        <v>3299.1521399999997</v>
      </c>
      <c r="Q11" s="65">
        <v>3814.0459999999998</v>
      </c>
      <c r="R11" s="66">
        <f>Q11*121</f>
        <v>461499.56599999999</v>
      </c>
    </row>
    <row r="12" spans="1:20" ht="16.5" thickBot="1" x14ac:dyDescent="0.3">
      <c r="A12" s="34" t="s">
        <v>109</v>
      </c>
      <c r="B12" s="35" t="s">
        <v>110</v>
      </c>
      <c r="C12" s="36">
        <v>1003.16</v>
      </c>
      <c r="D12" s="36">
        <f>C12*197</f>
        <v>197622.52</v>
      </c>
      <c r="E12" s="36">
        <v>1100.73</v>
      </c>
      <c r="F12" s="36">
        <f>E12*157</f>
        <v>172814.61000000002</v>
      </c>
      <c r="G12" s="36">
        <v>1067.67</v>
      </c>
      <c r="H12" s="36">
        <f>G12*175</f>
        <v>186842.25</v>
      </c>
      <c r="I12">
        <f>I8*0.1735</f>
        <v>295.90424999999999</v>
      </c>
      <c r="J12">
        <f>J8*0.1735</f>
        <v>787.53385000000003</v>
      </c>
      <c r="K12">
        <v>17.350000000000001</v>
      </c>
      <c r="L12">
        <v>1013.4</v>
      </c>
      <c r="M12">
        <f>L12*M8/L8</f>
        <v>17.34546294790713</v>
      </c>
      <c r="O12">
        <f>O8*0.1735</f>
        <v>1003.1596499999998</v>
      </c>
      <c r="Q12" s="67">
        <v>1137.54</v>
      </c>
      <c r="R12" s="36">
        <f t="shared" ref="R12:R22" si="0">Q12*121</f>
        <v>137642.34</v>
      </c>
    </row>
    <row r="13" spans="1:20" ht="16.5" thickBot="1" x14ac:dyDescent="0.3">
      <c r="A13" s="34" t="s">
        <v>111</v>
      </c>
      <c r="B13" s="35" t="s">
        <v>112</v>
      </c>
      <c r="C13" s="36">
        <v>1478.28</v>
      </c>
      <c r="D13" s="36">
        <f>C13*197</f>
        <v>291221.15999999997</v>
      </c>
      <c r="E13" s="36">
        <v>1681.81</v>
      </c>
      <c r="F13" s="36">
        <f>E13*157</f>
        <v>264044.17</v>
      </c>
      <c r="G13" s="36">
        <v>1631.19</v>
      </c>
      <c r="H13" s="36">
        <f>G13*175</f>
        <v>285458.25</v>
      </c>
      <c r="I13">
        <f>I8*0.2557</f>
        <v>436.09634999999997</v>
      </c>
      <c r="J13">
        <f>J8*0.2557</f>
        <v>1160.64787</v>
      </c>
      <c r="K13">
        <v>25.57</v>
      </c>
      <c r="L13">
        <v>1494.17</v>
      </c>
      <c r="M13">
        <f>L13*M8/L8</f>
        <v>25.574373764431019</v>
      </c>
      <c r="N13">
        <v>100</v>
      </c>
      <c r="O13">
        <f>O8*0.2557</f>
        <v>1478.4318299999998</v>
      </c>
      <c r="Q13" s="67">
        <v>1737.9386999999999</v>
      </c>
      <c r="R13" s="36">
        <f t="shared" si="0"/>
        <v>210290.5827</v>
      </c>
    </row>
    <row r="14" spans="1:20" ht="26.25" thickBot="1" x14ac:dyDescent="0.3">
      <c r="A14" s="37" t="s">
        <v>113</v>
      </c>
      <c r="B14" s="38" t="s">
        <v>114</v>
      </c>
      <c r="C14" s="39">
        <v>991.57</v>
      </c>
      <c r="D14" s="39">
        <f>C14*197</f>
        <v>195339.29</v>
      </c>
      <c r="E14" s="39">
        <v>1126.83</v>
      </c>
      <c r="F14" s="39">
        <f>E14*157</f>
        <v>176912.31</v>
      </c>
      <c r="G14" s="39">
        <v>1126.83</v>
      </c>
      <c r="H14" s="39">
        <f>G14*175</f>
        <v>197195.25</v>
      </c>
      <c r="I14">
        <f>I13*0.6706934</f>
        <v>292.48694370908999</v>
      </c>
      <c r="J14">
        <f>J13*0.6706934</f>
        <v>778.43886613305801</v>
      </c>
      <c r="L14">
        <v>1002.13</v>
      </c>
      <c r="M14">
        <f>L14*N13/L13</f>
        <v>67.069342845860916</v>
      </c>
      <c r="O14">
        <f>O13*0.67069</f>
        <v>991.56944406269986</v>
      </c>
      <c r="Q14" s="69">
        <v>1200.57</v>
      </c>
      <c r="R14" s="36">
        <f t="shared" si="0"/>
        <v>145268.97</v>
      </c>
    </row>
    <row r="15" spans="1:20" ht="39" thickBot="1" x14ac:dyDescent="0.3">
      <c r="A15" s="37" t="s">
        <v>115</v>
      </c>
      <c r="B15" s="38" t="s">
        <v>116</v>
      </c>
      <c r="C15" s="39"/>
      <c r="D15" s="39"/>
      <c r="E15" s="39"/>
      <c r="F15" s="39"/>
      <c r="G15" s="39"/>
      <c r="H15" s="39"/>
      <c r="Q15" s="70"/>
      <c r="R15" s="36">
        <f t="shared" si="0"/>
        <v>0</v>
      </c>
    </row>
    <row r="16" spans="1:20" ht="26.25" thickBot="1" x14ac:dyDescent="0.3">
      <c r="A16" s="37" t="s">
        <v>117</v>
      </c>
      <c r="B16" s="38" t="s">
        <v>118</v>
      </c>
      <c r="C16" s="40">
        <v>486.71</v>
      </c>
      <c r="D16" s="40">
        <f>C16*197</f>
        <v>95881.87</v>
      </c>
      <c r="E16" s="40">
        <v>554.98</v>
      </c>
      <c r="F16" s="40">
        <f>E16*157</f>
        <v>87131.86</v>
      </c>
      <c r="G16" s="40">
        <v>504.36</v>
      </c>
      <c r="H16" s="40">
        <f>G16*175</f>
        <v>88263</v>
      </c>
      <c r="I16">
        <f>(I14*0.3293066)</f>
        <v>96.317880977231809</v>
      </c>
      <c r="J16">
        <f>J13*0.3293</f>
        <v>382.20134359099995</v>
      </c>
      <c r="L16">
        <v>492.04</v>
      </c>
      <c r="M16">
        <f>L16*N13/L13</f>
        <v>32.930657154139084</v>
      </c>
      <c r="N16">
        <v>100</v>
      </c>
      <c r="O16">
        <f>O13*0.3293</f>
        <v>486.84760161899987</v>
      </c>
      <c r="Q16" s="72">
        <v>537.36800000000005</v>
      </c>
      <c r="R16" s="36">
        <f t="shared" si="0"/>
        <v>65021.528000000006</v>
      </c>
    </row>
    <row r="17" spans="1:18" ht="16.5" thickBot="1" x14ac:dyDescent="0.3">
      <c r="A17" s="41" t="s">
        <v>119</v>
      </c>
      <c r="B17" s="42" t="s">
        <v>120</v>
      </c>
      <c r="C17" s="39">
        <v>5.17</v>
      </c>
      <c r="D17" s="39">
        <f>C17*197</f>
        <v>1018.49</v>
      </c>
      <c r="E17" s="39">
        <v>5.88</v>
      </c>
      <c r="F17" s="39">
        <f>E17*157</f>
        <v>923.16</v>
      </c>
      <c r="G17" s="39">
        <v>6.12</v>
      </c>
      <c r="H17" s="39">
        <f>G17*175</f>
        <v>1071</v>
      </c>
      <c r="I17">
        <f>I16*0.01077</f>
        <v>1.0373435781247866</v>
      </c>
      <c r="J17">
        <f>J16*0.01077</f>
        <v>4.1163084704750696</v>
      </c>
      <c r="L17">
        <v>5.3</v>
      </c>
      <c r="M17">
        <f>L17*N16/L16</f>
        <v>1.0771481993333876</v>
      </c>
      <c r="O17">
        <f>O16*0.01077</f>
        <v>5.2433486694366289</v>
      </c>
      <c r="Q17" s="65">
        <v>6.52</v>
      </c>
      <c r="R17" s="36">
        <f t="shared" si="0"/>
        <v>788.92</v>
      </c>
    </row>
    <row r="18" spans="1:18" ht="26.25" thickBot="1" x14ac:dyDescent="0.3">
      <c r="A18" s="41" t="s">
        <v>121</v>
      </c>
      <c r="B18" s="42" t="s">
        <v>122</v>
      </c>
      <c r="C18" s="39">
        <v>5.17</v>
      </c>
      <c r="D18" s="39">
        <f>C18*197</f>
        <v>1018.49</v>
      </c>
      <c r="E18" s="39">
        <v>5.88</v>
      </c>
      <c r="F18" s="39">
        <f>E18*157</f>
        <v>923.16</v>
      </c>
      <c r="G18" s="39">
        <v>7.27</v>
      </c>
      <c r="H18" s="39">
        <f>G18*175</f>
        <v>1272.25</v>
      </c>
      <c r="I18">
        <v>1.0369999999999999</v>
      </c>
      <c r="J18">
        <v>1.38</v>
      </c>
      <c r="M18">
        <v>1.077</v>
      </c>
      <c r="O18">
        <v>1.74</v>
      </c>
      <c r="Q18" s="65">
        <v>7.7450000000000001</v>
      </c>
      <c r="R18" s="36">
        <f t="shared" si="0"/>
        <v>937.14499999999998</v>
      </c>
    </row>
    <row r="19" spans="1:18" ht="51.75" thickBot="1" x14ac:dyDescent="0.3">
      <c r="A19" s="41" t="s">
        <v>123</v>
      </c>
      <c r="B19" s="42" t="s">
        <v>124</v>
      </c>
      <c r="C19" s="39">
        <v>58.12</v>
      </c>
      <c r="D19" s="39">
        <f>C19*197</f>
        <v>11449.64</v>
      </c>
      <c r="E19" s="39">
        <v>66.260000000000005</v>
      </c>
      <c r="F19" s="39">
        <f>E19*157</f>
        <v>10402.820000000002</v>
      </c>
      <c r="G19" s="39">
        <v>64.34</v>
      </c>
      <c r="H19" s="39">
        <f>G19*175</f>
        <v>11259.5</v>
      </c>
      <c r="I19">
        <f>I16*0.1193805</f>
        <v>11.498476790002423</v>
      </c>
      <c r="J19" s="33">
        <f>J16*0.1194</f>
        <v>45.6348404247654</v>
      </c>
      <c r="L19">
        <v>58.74</v>
      </c>
      <c r="M19">
        <f>L19*N16/L16</f>
        <v>11.938053816762864</v>
      </c>
      <c r="O19">
        <f>O16*0.1194</f>
        <v>58.129603633308591</v>
      </c>
      <c r="Q19" s="73">
        <v>68.55</v>
      </c>
      <c r="R19" s="36">
        <f t="shared" si="0"/>
        <v>8294.5499999999993</v>
      </c>
    </row>
    <row r="20" spans="1:18" ht="16.5" thickBot="1" x14ac:dyDescent="0.3">
      <c r="A20" s="41" t="s">
        <v>125</v>
      </c>
      <c r="B20" s="42" t="s">
        <v>126</v>
      </c>
      <c r="C20" s="39"/>
      <c r="D20" s="39"/>
      <c r="E20" s="39"/>
      <c r="F20" s="39"/>
      <c r="G20" s="39"/>
      <c r="H20" s="39"/>
      <c r="Q20" s="68"/>
      <c r="R20" s="36">
        <f t="shared" si="0"/>
        <v>0</v>
      </c>
    </row>
    <row r="21" spans="1:18" ht="26.25" thickBot="1" x14ac:dyDescent="0.3">
      <c r="A21" s="41" t="s">
        <v>127</v>
      </c>
      <c r="B21" s="42" t="s">
        <v>128</v>
      </c>
      <c r="C21" s="39">
        <v>418.25</v>
      </c>
      <c r="D21" s="39">
        <f>C21*197</f>
        <v>82395.25</v>
      </c>
      <c r="E21" s="39">
        <v>482.84</v>
      </c>
      <c r="F21" s="39">
        <f>E21*157</f>
        <v>75805.87999999999</v>
      </c>
      <c r="G21" s="39">
        <v>426.63</v>
      </c>
      <c r="H21" s="39">
        <f>G21*175</f>
        <v>74660.25</v>
      </c>
      <c r="I21">
        <f>I16*0.8590968</f>
        <v>82.746383330320725</v>
      </c>
      <c r="J21" s="33">
        <f>J16*0.8591</f>
        <v>328.34917427902803</v>
      </c>
      <c r="L21">
        <v>422.71</v>
      </c>
      <c r="M21">
        <f>L21*N16/492.04</f>
        <v>85.909682139663445</v>
      </c>
      <c r="N21">
        <f>M17+M18+M19+M21</f>
        <v>100.0018841557597</v>
      </c>
      <c r="O21">
        <f>O16*0.85909</f>
        <v>418.24590607486664</v>
      </c>
      <c r="Q21" s="71">
        <v>454.553</v>
      </c>
      <c r="R21" s="36">
        <f t="shared" si="0"/>
        <v>55000.913</v>
      </c>
    </row>
    <row r="22" spans="1:18" ht="16.5" thickBot="1" x14ac:dyDescent="0.3">
      <c r="A22" s="34" t="s">
        <v>129</v>
      </c>
      <c r="B22" s="35" t="s">
        <v>130</v>
      </c>
      <c r="C22" s="36">
        <v>1.31</v>
      </c>
      <c r="D22" s="36">
        <f>C22*197</f>
        <v>258.07</v>
      </c>
      <c r="E22" s="36">
        <v>1.66</v>
      </c>
      <c r="F22" s="36">
        <f>E22*157</f>
        <v>260.62</v>
      </c>
      <c r="G22" s="36">
        <f>G23</f>
        <v>1.61</v>
      </c>
      <c r="H22" s="36">
        <f>G22*175</f>
        <v>281.75</v>
      </c>
      <c r="I22">
        <f>(I8*0.02)/100</f>
        <v>0.34110000000000001</v>
      </c>
      <c r="J22" s="33">
        <f>(J8*0.02259)/100</f>
        <v>1.02538269</v>
      </c>
      <c r="K22">
        <v>0.02</v>
      </c>
      <c r="L22">
        <v>1.32</v>
      </c>
      <c r="M22">
        <f>L22*M8/L8</f>
        <v>2.2593261388629771E-2</v>
      </c>
      <c r="O22">
        <f>(O8*0.022593)/100</f>
        <v>1.3063046669999998</v>
      </c>
      <c r="Q22" s="68">
        <v>1.7153</v>
      </c>
      <c r="R22" s="36">
        <f t="shared" si="0"/>
        <v>207.5513</v>
      </c>
    </row>
    <row r="23" spans="1:18" ht="16.5" thickBot="1" x14ac:dyDescent="0.3">
      <c r="A23" s="37" t="s">
        <v>131</v>
      </c>
      <c r="B23" s="38" t="s">
        <v>132</v>
      </c>
      <c r="C23" s="39">
        <v>1.31</v>
      </c>
      <c r="D23" s="39">
        <f>C23*197</f>
        <v>258.07</v>
      </c>
      <c r="E23" s="39">
        <v>1.66</v>
      </c>
      <c r="F23" s="39">
        <f>E23*157</f>
        <v>260.62</v>
      </c>
      <c r="G23" s="39">
        <v>1.61</v>
      </c>
      <c r="H23" s="39">
        <f>G23*175</f>
        <v>281.75</v>
      </c>
      <c r="Q23" s="68">
        <f>Q22</f>
        <v>1.7153</v>
      </c>
      <c r="R23" s="61">
        <f>R22</f>
        <v>207.5513</v>
      </c>
    </row>
    <row r="24" spans="1:18" ht="15.75" thickBot="1" x14ac:dyDescent="0.3">
      <c r="A24" s="37" t="s">
        <v>133</v>
      </c>
      <c r="B24" s="38" t="s">
        <v>134</v>
      </c>
      <c r="C24" s="39"/>
      <c r="D24" s="39"/>
      <c r="E24" s="39"/>
      <c r="F24" s="39"/>
      <c r="G24" s="39"/>
      <c r="H24" s="39"/>
      <c r="I24">
        <f>I11+I12+I13+I22</f>
        <v>1705.5</v>
      </c>
      <c r="J24" s="33">
        <f>J11+J12+J13+J22</f>
        <v>4539.2175626899998</v>
      </c>
      <c r="K24">
        <f>SUM(K11:K23)</f>
        <v>99.999999999999986</v>
      </c>
      <c r="M24">
        <f>M11+M12+M13+M22</f>
        <v>99.999828838928892</v>
      </c>
      <c r="O24">
        <f>O11+O12+O13+O22</f>
        <v>5782.0499246669997</v>
      </c>
      <c r="Q24" s="64"/>
      <c r="R24" s="74"/>
    </row>
    <row r="25" spans="1:18" ht="15.75" thickBot="1" x14ac:dyDescent="0.3">
      <c r="A25" s="37" t="s">
        <v>135</v>
      </c>
      <c r="B25" s="38" t="s">
        <v>136</v>
      </c>
      <c r="C25" s="39"/>
      <c r="D25" s="39"/>
      <c r="E25" s="39"/>
      <c r="F25" s="39"/>
      <c r="G25" s="39"/>
      <c r="H25" s="39"/>
      <c r="O25">
        <f>5782.05-5781.9</f>
        <v>0.1500000000005457</v>
      </c>
      <c r="Q25" s="64"/>
      <c r="R25" s="62"/>
    </row>
    <row r="26" spans="1:18" ht="26.25" thickBot="1" x14ac:dyDescent="0.3">
      <c r="A26" s="37" t="s">
        <v>137</v>
      </c>
      <c r="B26" s="38" t="s">
        <v>138</v>
      </c>
      <c r="C26" s="39"/>
      <c r="D26" s="39"/>
      <c r="E26" s="39"/>
      <c r="F26" s="39"/>
      <c r="G26" s="39"/>
      <c r="H26" s="39"/>
      <c r="I26">
        <f>I11+I12+I13+I22</f>
        <v>1705.5</v>
      </c>
      <c r="O26">
        <f>1478.43-0.15</f>
        <v>1478.28</v>
      </c>
      <c r="Q26" s="64"/>
      <c r="R26" s="62"/>
    </row>
    <row r="28" spans="1:18" x14ac:dyDescent="0.25">
      <c r="D28" s="33"/>
      <c r="F28" s="33"/>
      <c r="H28" s="33"/>
    </row>
    <row r="29" spans="1:18" x14ac:dyDescent="0.25">
      <c r="G29">
        <v>15857</v>
      </c>
      <c r="H29" s="33"/>
    </row>
  </sheetData>
  <mergeCells count="3">
    <mergeCell ref="A2:H2"/>
    <mergeCell ref="A5:A6"/>
    <mergeCell ref="B5:B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33"/>
  <sheetViews>
    <sheetView zoomScale="120" zoomScaleNormal="120" workbookViewId="0">
      <selection activeCell="V15" sqref="V15"/>
    </sheetView>
  </sheetViews>
  <sheetFormatPr defaultRowHeight="15" x14ac:dyDescent="0.25"/>
  <cols>
    <col min="1" max="1" width="10.7109375" style="15" customWidth="1"/>
    <col min="2" max="2" width="32.28515625" style="15" customWidth="1"/>
    <col min="3" max="4" width="18.140625" hidden="1" customWidth="1"/>
    <col min="5" max="5" width="12.5703125" customWidth="1"/>
    <col min="6" max="6" width="15.7109375" customWidth="1"/>
    <col min="7" max="7" width="10" hidden="1" customWidth="1"/>
    <col min="8" max="14" width="9.140625" hidden="1" customWidth="1"/>
    <col min="15" max="15" width="11.7109375" customWidth="1"/>
    <col min="16" max="16" width="15.140625" customWidth="1"/>
    <col min="17" max="17" width="12" customWidth="1"/>
    <col min="18" max="18" width="14.5703125" customWidth="1"/>
  </cols>
  <sheetData>
    <row r="1" spans="1:20" ht="34.5" x14ac:dyDescent="0.25">
      <c r="A1" s="12" t="s">
        <v>76</v>
      </c>
      <c r="F1" s="13"/>
      <c r="P1" s="13"/>
      <c r="Q1" s="46"/>
      <c r="R1" s="46" t="s">
        <v>93</v>
      </c>
    </row>
    <row r="2" spans="1:20" ht="66" customHeight="1" x14ac:dyDescent="0.25">
      <c r="A2" s="119" t="s">
        <v>159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20" ht="12.6" customHeight="1" x14ac:dyDescent="0.25">
      <c r="A3" s="43"/>
      <c r="B3" s="43"/>
      <c r="C3" s="43"/>
      <c r="D3" s="43"/>
      <c r="E3" s="43"/>
    </row>
    <row r="4" spans="1:20" ht="15" customHeight="1" x14ac:dyDescent="0.25">
      <c r="A4" s="48" t="s">
        <v>139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20" ht="15.75" thickBot="1" x14ac:dyDescent="0.3">
      <c r="I5" s="33">
        <f>E9-I9</f>
        <v>11148.399999999998</v>
      </c>
    </row>
    <row r="6" spans="1:20" s="15" customFormat="1" ht="29.45" customHeight="1" thickBot="1" x14ac:dyDescent="0.25">
      <c r="A6" s="120" t="s">
        <v>78</v>
      </c>
      <c r="B6" s="120" t="s">
        <v>95</v>
      </c>
      <c r="C6" s="44" t="s">
        <v>140</v>
      </c>
      <c r="D6" s="45" t="s">
        <v>141</v>
      </c>
      <c r="E6" s="45" t="s">
        <v>140</v>
      </c>
      <c r="F6" s="45" t="s">
        <v>141</v>
      </c>
      <c r="H6" s="15">
        <f>6484.61-0.25</f>
        <v>6484.36</v>
      </c>
      <c r="I6" s="15">
        <f>797869.03-797855.5</f>
        <v>13.53000000002794</v>
      </c>
      <c r="O6" s="45" t="s">
        <v>140</v>
      </c>
      <c r="P6" s="45" t="s">
        <v>141</v>
      </c>
      <c r="Q6" s="45" t="s">
        <v>140</v>
      </c>
      <c r="R6" s="45" t="s">
        <v>141</v>
      </c>
    </row>
    <row r="7" spans="1:20" s="15" customFormat="1" ht="13.5" thickBot="1" x14ac:dyDescent="0.25">
      <c r="A7" s="121"/>
      <c r="B7" s="121"/>
      <c r="C7" s="27" t="s">
        <v>142</v>
      </c>
      <c r="D7" s="27" t="s">
        <v>142</v>
      </c>
      <c r="E7" s="27" t="s">
        <v>143</v>
      </c>
      <c r="F7" s="27" t="s">
        <v>143</v>
      </c>
      <c r="I7" s="15">
        <f>346269.3-13.53</f>
        <v>346255.76999999996</v>
      </c>
      <c r="O7" s="27" t="s">
        <v>144</v>
      </c>
      <c r="P7" s="27" t="s">
        <v>144</v>
      </c>
      <c r="Q7" s="27" t="s">
        <v>162</v>
      </c>
      <c r="R7" s="27" t="s">
        <v>162</v>
      </c>
    </row>
    <row r="8" spans="1:20" s="30" customFormat="1" ht="12" thickBot="1" x14ac:dyDescent="0.25">
      <c r="A8" s="28">
        <v>1</v>
      </c>
      <c r="B8" s="29">
        <v>2</v>
      </c>
      <c r="C8" s="29">
        <v>3</v>
      </c>
      <c r="D8" s="29"/>
      <c r="E8" s="29">
        <v>5</v>
      </c>
      <c r="F8" s="29"/>
      <c r="O8" s="29"/>
      <c r="P8" s="29"/>
    </row>
    <row r="9" spans="1:20" ht="39" thickBot="1" x14ac:dyDescent="0.3">
      <c r="A9" s="31" t="s">
        <v>6</v>
      </c>
      <c r="B9" s="3" t="s">
        <v>102</v>
      </c>
      <c r="C9" s="32">
        <f>C10+C11+C12+C13+C14+C23</f>
        <v>3245.4</v>
      </c>
      <c r="D9" s="32">
        <f>C9*200</f>
        <v>649080</v>
      </c>
      <c r="E9" s="32">
        <f>E10+E11+E12+E13+E14+E23</f>
        <v>15229.699999999999</v>
      </c>
      <c r="F9" s="32">
        <f>E9*157</f>
        <v>2391062.9</v>
      </c>
      <c r="G9" s="33">
        <v>996.1</v>
      </c>
      <c r="H9">
        <v>3245.4</v>
      </c>
      <c r="I9">
        <v>4081.3</v>
      </c>
      <c r="J9">
        <v>4063.51</v>
      </c>
      <c r="K9">
        <v>100</v>
      </c>
      <c r="M9">
        <f>I9/H9</f>
        <v>1.2575645529056512</v>
      </c>
      <c r="O9" s="32">
        <f>O12+O13+O14+O23</f>
        <v>15857.0723</v>
      </c>
      <c r="P9" s="32">
        <f>O9*175</f>
        <v>2774987.6524999999</v>
      </c>
      <c r="Q9" s="75">
        <f>Q12+Q13+Q14+Q23</f>
        <v>14968.399999999998</v>
      </c>
      <c r="R9" s="76">
        <f>Q9*121</f>
        <v>1811176.3999999997</v>
      </c>
      <c r="T9" s="58"/>
    </row>
    <row r="10" spans="1:20" ht="16.5" thickBot="1" x14ac:dyDescent="0.3">
      <c r="A10" s="34" t="s">
        <v>103</v>
      </c>
      <c r="B10" s="35" t="s">
        <v>104</v>
      </c>
      <c r="C10" s="36"/>
      <c r="D10" s="36"/>
      <c r="E10" s="36"/>
      <c r="F10" s="36"/>
      <c r="O10" s="36"/>
      <c r="P10" s="36"/>
      <c r="R10" s="32">
        <f t="shared" ref="R10:R27" si="0">Q10*121</f>
        <v>0</v>
      </c>
    </row>
    <row r="11" spans="1:20" ht="16.5" thickBot="1" x14ac:dyDescent="0.3">
      <c r="A11" s="34" t="s">
        <v>106</v>
      </c>
      <c r="B11" s="35" t="s">
        <v>107</v>
      </c>
      <c r="C11" s="36"/>
      <c r="D11" s="36"/>
      <c r="E11" s="36"/>
      <c r="F11" s="36"/>
      <c r="G11" s="33"/>
      <c r="O11" s="36"/>
      <c r="P11" s="36"/>
      <c r="Q11" s="63"/>
      <c r="R11" s="32">
        <f t="shared" si="0"/>
        <v>0</v>
      </c>
    </row>
    <row r="12" spans="1:20" ht="16.5" thickBot="1" x14ac:dyDescent="0.3">
      <c r="A12" s="34" t="s">
        <v>8</v>
      </c>
      <c r="B12" s="35" t="s">
        <v>108</v>
      </c>
      <c r="C12" s="36">
        <v>1408.2</v>
      </c>
      <c r="D12" s="36">
        <f>C12*200</f>
        <v>281640</v>
      </c>
      <c r="E12" s="36">
        <v>6701.06</v>
      </c>
      <c r="F12" s="36">
        <f>E12*157</f>
        <v>1052066.4200000002</v>
      </c>
      <c r="G12">
        <f>G9*0.4339</f>
        <v>432.20779000000005</v>
      </c>
      <c r="H12">
        <f>H9*0.4339</f>
        <v>1408.1790600000002</v>
      </c>
      <c r="I12">
        <f>I9*0.4339</f>
        <v>1770.87607</v>
      </c>
      <c r="J12">
        <v>1763.06</v>
      </c>
      <c r="K12">
        <f>J12*K9/J9</f>
        <v>43.387613171863734</v>
      </c>
      <c r="L12">
        <v>43.39</v>
      </c>
      <c r="O12" s="36">
        <v>6977.12</v>
      </c>
      <c r="P12" s="36">
        <f>O12*'[1]Прил2-2019'!D8</f>
        <v>1220996</v>
      </c>
      <c r="Q12" s="77">
        <v>6586.1030000000001</v>
      </c>
      <c r="R12" s="32">
        <f t="shared" si="0"/>
        <v>796918.46299999999</v>
      </c>
    </row>
    <row r="13" spans="1:20" ht="16.5" thickBot="1" x14ac:dyDescent="0.3">
      <c r="A13" s="34" t="s">
        <v>109</v>
      </c>
      <c r="B13" s="35" t="s">
        <v>110</v>
      </c>
      <c r="C13" s="36">
        <v>428.1</v>
      </c>
      <c r="D13" s="36">
        <f>C13*200</f>
        <v>85620</v>
      </c>
      <c r="E13" s="36">
        <v>1979.86</v>
      </c>
      <c r="F13" s="36">
        <f>E13*157</f>
        <v>310838.01999999996</v>
      </c>
      <c r="G13">
        <f>G9*0.1319</f>
        <v>131.38558999999998</v>
      </c>
      <c r="H13">
        <f>H9*0.1319</f>
        <v>428.06825999999995</v>
      </c>
      <c r="I13">
        <f>I9*0.1319</f>
        <v>538.32346999999993</v>
      </c>
      <c r="J13">
        <v>535.97</v>
      </c>
      <c r="K13">
        <f>J13*K9/J9</f>
        <v>13.189828498022644</v>
      </c>
      <c r="L13">
        <v>13.19</v>
      </c>
      <c r="O13" s="36">
        <v>2061.4299999999998</v>
      </c>
      <c r="P13" s="36">
        <f>O13*'[1]Прил2-2019'!D8</f>
        <v>360750.25</v>
      </c>
      <c r="Q13" s="77">
        <v>1945.903</v>
      </c>
      <c r="R13" s="32">
        <f t="shared" si="0"/>
        <v>235454.26300000001</v>
      </c>
    </row>
    <row r="14" spans="1:20" ht="16.5" thickBot="1" x14ac:dyDescent="0.3">
      <c r="A14" s="34" t="s">
        <v>111</v>
      </c>
      <c r="B14" s="35" t="s">
        <v>112</v>
      </c>
      <c r="C14" s="36">
        <v>1408.4</v>
      </c>
      <c r="D14" s="36">
        <f>C14*200</f>
        <v>281680</v>
      </c>
      <c r="E14" s="36">
        <v>6547.88</v>
      </c>
      <c r="F14" s="36">
        <f>E14*157</f>
        <v>1028017.16</v>
      </c>
      <c r="G14">
        <f>G9*0.434</f>
        <v>432.30740000000003</v>
      </c>
      <c r="H14">
        <f>H9*0.434</f>
        <v>1408.5036</v>
      </c>
      <c r="I14">
        <f>I9*0.434</f>
        <v>1771.2842000000001</v>
      </c>
      <c r="J14">
        <f>1763.59</f>
        <v>1763.59</v>
      </c>
      <c r="K14">
        <f>J14*K9/J9</f>
        <v>43.400656083041504</v>
      </c>
      <c r="L14">
        <v>43.4</v>
      </c>
      <c r="O14" s="36">
        <f>6817.5823</f>
        <v>6817.5823</v>
      </c>
      <c r="P14" s="36">
        <f>O14*175</f>
        <v>1193076.9025000001</v>
      </c>
      <c r="Q14" s="77">
        <v>6435.5039999999999</v>
      </c>
      <c r="R14" s="32">
        <f t="shared" si="0"/>
        <v>778695.98399999994</v>
      </c>
    </row>
    <row r="15" spans="1:20" ht="26.25" thickBot="1" x14ac:dyDescent="0.3">
      <c r="A15" s="37" t="s">
        <v>113</v>
      </c>
      <c r="B15" s="38" t="s">
        <v>114</v>
      </c>
      <c r="C15" s="39">
        <v>1200.7</v>
      </c>
      <c r="D15" s="39">
        <f>C15*200</f>
        <v>240140</v>
      </c>
      <c r="E15" s="39">
        <v>5565.78</v>
      </c>
      <c r="F15" s="39">
        <f>E15*157</f>
        <v>873827.46</v>
      </c>
      <c r="G15">
        <f>G14*0.8525</f>
        <v>368.54205850000005</v>
      </c>
      <c r="H15">
        <f>H14*0.8525</f>
        <v>1200.749319</v>
      </c>
      <c r="I15">
        <f>I14*0.8525</f>
        <v>1510.0197805</v>
      </c>
      <c r="J15">
        <f>1503.54</f>
        <v>1503.54</v>
      </c>
      <c r="K15">
        <f>J15*K9/J14</f>
        <v>85.254509268027149</v>
      </c>
      <c r="L15">
        <v>85.25</v>
      </c>
      <c r="O15" s="39">
        <v>5795.0303328</v>
      </c>
      <c r="P15" s="39">
        <f>O15*175</f>
        <v>1014130.30824</v>
      </c>
      <c r="Q15" s="77">
        <v>5740.26</v>
      </c>
      <c r="R15" s="32">
        <f t="shared" si="0"/>
        <v>694571.46000000008</v>
      </c>
    </row>
    <row r="16" spans="1:20" ht="39" thickBot="1" x14ac:dyDescent="0.3">
      <c r="A16" s="37" t="s">
        <v>115</v>
      </c>
      <c r="B16" s="38" t="s">
        <v>116</v>
      </c>
      <c r="C16" s="39"/>
      <c r="D16" s="39"/>
      <c r="E16" s="39"/>
      <c r="F16" s="39"/>
      <c r="O16" s="39"/>
      <c r="P16" s="39"/>
      <c r="Q16" s="63"/>
      <c r="R16" s="32">
        <f t="shared" si="0"/>
        <v>0</v>
      </c>
    </row>
    <row r="17" spans="1:18" ht="39" thickBot="1" x14ac:dyDescent="0.3">
      <c r="A17" s="37" t="s">
        <v>117</v>
      </c>
      <c r="B17" s="38" t="s">
        <v>118</v>
      </c>
      <c r="C17" s="40">
        <v>207.7</v>
      </c>
      <c r="D17" s="40">
        <f>C17*200</f>
        <v>41540</v>
      </c>
      <c r="E17" s="40">
        <v>982.1</v>
      </c>
      <c r="F17" s="40">
        <f>E17*157</f>
        <v>154189.70000000001</v>
      </c>
      <c r="G17">
        <f>G14*0.1475</f>
        <v>63.765341499999998</v>
      </c>
      <c r="H17">
        <f>H14*0.1475</f>
        <v>207.75428099999999</v>
      </c>
      <c r="I17">
        <f>I14*0.1475</f>
        <v>261.26441949999997</v>
      </c>
      <c r="J17">
        <v>260.05</v>
      </c>
      <c r="K17">
        <f>J17*K9/J14</f>
        <v>14.745490731972852</v>
      </c>
      <c r="L17">
        <v>14.75</v>
      </c>
      <c r="O17" s="40">
        <v>1022.55196753</v>
      </c>
      <c r="P17" s="40">
        <f>O17*175</f>
        <v>178946.59431774999</v>
      </c>
      <c r="Q17" s="77">
        <v>965.24</v>
      </c>
      <c r="R17" s="32">
        <f t="shared" si="0"/>
        <v>116794.04000000001</v>
      </c>
    </row>
    <row r="18" spans="1:18" ht="16.5" thickBot="1" x14ac:dyDescent="0.3">
      <c r="A18" s="41" t="s">
        <v>119</v>
      </c>
      <c r="B18" s="42" t="s">
        <v>120</v>
      </c>
      <c r="C18" s="39">
        <v>2.1</v>
      </c>
      <c r="D18" s="39">
        <f>C18*200</f>
        <v>420</v>
      </c>
      <c r="E18" s="39">
        <v>10.119999999999999</v>
      </c>
      <c r="F18" s="39">
        <f>E18*157</f>
        <v>1588.84</v>
      </c>
      <c r="G18">
        <f>G17*0.0102</f>
        <v>0.65040648330000006</v>
      </c>
      <c r="H18">
        <f>H17*0.0102</f>
        <v>2.1190936661999999</v>
      </c>
      <c r="I18">
        <f>I17*0.0102</f>
        <v>2.6648970788999997</v>
      </c>
      <c r="J18">
        <v>2.65</v>
      </c>
      <c r="K18">
        <f>J18*K9/J17</f>
        <v>1.0190348009998076</v>
      </c>
      <c r="L18">
        <v>1.02</v>
      </c>
      <c r="O18" s="39"/>
      <c r="P18" s="39"/>
      <c r="Q18" s="77">
        <v>8.5640000000000001</v>
      </c>
      <c r="R18" s="32">
        <f t="shared" si="0"/>
        <v>1036.2439999999999</v>
      </c>
    </row>
    <row r="19" spans="1:18" ht="26.25" thickBot="1" x14ac:dyDescent="0.3">
      <c r="A19" s="41" t="s">
        <v>121</v>
      </c>
      <c r="B19" s="42" t="s">
        <v>122</v>
      </c>
      <c r="C19" s="39">
        <v>2.1</v>
      </c>
      <c r="D19" s="39">
        <f>C19*200</f>
        <v>420</v>
      </c>
      <c r="E19" s="39">
        <v>10.119999999999999</v>
      </c>
      <c r="F19" s="39">
        <f>E19*157</f>
        <v>1588.84</v>
      </c>
      <c r="G19">
        <v>9.7560000000000002</v>
      </c>
      <c r="H19">
        <v>520.96</v>
      </c>
      <c r="I19">
        <f>I17*0.0102</f>
        <v>2.6648970788999997</v>
      </c>
      <c r="K19">
        <v>1.02</v>
      </c>
      <c r="L19">
        <v>1.02</v>
      </c>
      <c r="O19" s="39"/>
      <c r="P19" s="39"/>
      <c r="Q19" s="79">
        <v>11.33</v>
      </c>
      <c r="R19" s="32">
        <f t="shared" si="0"/>
        <v>1370.93</v>
      </c>
    </row>
    <row r="20" spans="1:18" ht="51.75" thickBot="1" x14ac:dyDescent="0.3">
      <c r="A20" s="41" t="s">
        <v>123</v>
      </c>
      <c r="B20" s="42" t="s">
        <v>124</v>
      </c>
      <c r="C20" s="39">
        <v>22.6</v>
      </c>
      <c r="D20" s="39">
        <f>C20*200</f>
        <v>4520</v>
      </c>
      <c r="E20" s="39">
        <v>108.04</v>
      </c>
      <c r="F20" s="39">
        <f>E20*157</f>
        <v>16962.280000000002</v>
      </c>
      <c r="G20">
        <f>G17*0.1089</f>
        <v>6.9440456893499993</v>
      </c>
      <c r="H20">
        <f>H17*0.1089</f>
        <v>22.624441200899998</v>
      </c>
      <c r="I20">
        <f>I17*0.1089</f>
        <v>28.451695283549995</v>
      </c>
      <c r="J20">
        <v>28.33</v>
      </c>
      <c r="K20">
        <f>J20*K9/J17</f>
        <v>10.894058834839454</v>
      </c>
      <c r="L20">
        <v>10.89</v>
      </c>
      <c r="O20" s="39">
        <v>112.49</v>
      </c>
      <c r="P20" s="39">
        <f>O20*175</f>
        <v>19685.75</v>
      </c>
      <c r="Q20" s="78">
        <v>106.18600000000001</v>
      </c>
      <c r="R20" s="32">
        <f t="shared" si="0"/>
        <v>12848.506000000001</v>
      </c>
    </row>
    <row r="21" spans="1:18" ht="16.5" thickBot="1" x14ac:dyDescent="0.3">
      <c r="A21" s="41" t="s">
        <v>125</v>
      </c>
      <c r="B21" s="42" t="s">
        <v>126</v>
      </c>
      <c r="C21" s="39"/>
      <c r="D21" s="39"/>
      <c r="E21" s="39"/>
      <c r="F21" s="39"/>
      <c r="O21" s="39"/>
      <c r="P21" s="39"/>
      <c r="Q21" s="64"/>
      <c r="R21" s="32">
        <f t="shared" si="0"/>
        <v>0</v>
      </c>
    </row>
    <row r="22" spans="1:18" ht="26.25" thickBot="1" x14ac:dyDescent="0.3">
      <c r="A22" s="41" t="s">
        <v>127</v>
      </c>
      <c r="B22" s="42" t="s">
        <v>128</v>
      </c>
      <c r="C22" s="39">
        <v>180.9</v>
      </c>
      <c r="D22" s="39">
        <f>C22*200</f>
        <v>36180</v>
      </c>
      <c r="E22" s="39">
        <v>853.82</v>
      </c>
      <c r="F22" s="39">
        <f>E22*157</f>
        <v>134049.74000000002</v>
      </c>
      <c r="G22">
        <f>G17*0.8707</f>
        <v>55.520482844050001</v>
      </c>
      <c r="H22">
        <f>H17*0.8707</f>
        <v>180.89165246670001</v>
      </c>
      <c r="I22">
        <f>I17*0.8707</f>
        <v>227.48293005865</v>
      </c>
      <c r="J22">
        <v>226.42</v>
      </c>
      <c r="K22">
        <f>J22*K9/J17</f>
        <v>87.067871563160921</v>
      </c>
      <c r="L22">
        <f>87.07/100</f>
        <v>0.87069999999999992</v>
      </c>
      <c r="O22" s="39">
        <v>888.99</v>
      </c>
      <c r="P22" s="39">
        <f>O22*175</f>
        <v>155573.25</v>
      </c>
      <c r="Q22" s="78">
        <v>839.16</v>
      </c>
      <c r="R22" s="32">
        <f t="shared" si="0"/>
        <v>101538.36</v>
      </c>
    </row>
    <row r="23" spans="1:18" ht="16.5" thickBot="1" x14ac:dyDescent="0.3">
      <c r="A23" s="34" t="s">
        <v>129</v>
      </c>
      <c r="B23" s="35" t="s">
        <v>130</v>
      </c>
      <c r="C23" s="36">
        <v>0.7</v>
      </c>
      <c r="D23" s="36">
        <f>C23*200</f>
        <v>140</v>
      </c>
      <c r="E23" s="36">
        <v>0.9</v>
      </c>
      <c r="F23" s="36">
        <f>E23*157</f>
        <v>141.30000000000001</v>
      </c>
      <c r="G23">
        <f>G9*0.000217</f>
        <v>0.2161537</v>
      </c>
      <c r="H23">
        <f>H9*0.000217</f>
        <v>0.70425179999999998</v>
      </c>
      <c r="I23">
        <f>I9*0.000217</f>
        <v>0.88564209999999999</v>
      </c>
      <c r="J23">
        <v>0.88</v>
      </c>
      <c r="K23">
        <f>J23*K9/J9</f>
        <v>2.165615440838093E-2</v>
      </c>
      <c r="L23">
        <f>K23/100</f>
        <v>2.165615440838093E-4</v>
      </c>
      <c r="O23" s="36">
        <f>O24+O25+O26+O27</f>
        <v>0.94</v>
      </c>
      <c r="P23" s="36">
        <f>P24+P25+P26+P27</f>
        <v>164.5</v>
      </c>
      <c r="Q23" s="64">
        <v>0.89</v>
      </c>
      <c r="R23" s="32">
        <f t="shared" si="0"/>
        <v>107.69</v>
      </c>
    </row>
    <row r="24" spans="1:18" ht="16.5" thickBot="1" x14ac:dyDescent="0.3">
      <c r="A24" s="37" t="s">
        <v>131</v>
      </c>
      <c r="B24" s="38" t="s">
        <v>132</v>
      </c>
      <c r="C24" s="39">
        <v>0.7</v>
      </c>
      <c r="D24" s="39">
        <f>C24*200</f>
        <v>140</v>
      </c>
      <c r="E24" s="39">
        <v>0.9</v>
      </c>
      <c r="F24" s="39">
        <f>E24*157</f>
        <v>141.30000000000001</v>
      </c>
      <c r="O24" s="39">
        <v>0.94</v>
      </c>
      <c r="P24" s="39">
        <f>O24*175</f>
        <v>164.5</v>
      </c>
      <c r="Q24" s="64">
        <f>Q23</f>
        <v>0.89</v>
      </c>
      <c r="R24" s="32">
        <f t="shared" si="0"/>
        <v>107.69</v>
      </c>
    </row>
    <row r="25" spans="1:18" ht="16.5" thickBot="1" x14ac:dyDescent="0.3">
      <c r="A25" s="37" t="s">
        <v>133</v>
      </c>
      <c r="B25" s="38" t="s">
        <v>134</v>
      </c>
      <c r="C25" s="39"/>
      <c r="D25" s="39"/>
      <c r="E25" s="39"/>
      <c r="F25" s="39"/>
      <c r="G25">
        <f>G12+G13+G14+G23</f>
        <v>996.1169337</v>
      </c>
      <c r="H25">
        <f>H12+H13+H14+H23</f>
        <v>3245.4551718000002</v>
      </c>
      <c r="I25">
        <f>I12+I13+I14+I23</f>
        <v>4081.3693821000002</v>
      </c>
      <c r="K25">
        <f>K12+K13+K14+K23</f>
        <v>99.999753907336256</v>
      </c>
      <c r="L25">
        <f>L12+L13+L14+K23</f>
        <v>100.00165615440837</v>
      </c>
      <c r="O25" s="39"/>
      <c r="P25" s="39"/>
      <c r="Q25" s="64"/>
      <c r="R25" s="32">
        <f t="shared" si="0"/>
        <v>0</v>
      </c>
    </row>
    <row r="26" spans="1:18" ht="16.5" thickBot="1" x14ac:dyDescent="0.3">
      <c r="A26" s="37" t="s">
        <v>135</v>
      </c>
      <c r="B26" s="38" t="s">
        <v>136</v>
      </c>
      <c r="C26" s="39"/>
      <c r="D26" s="39"/>
      <c r="E26" s="39"/>
      <c r="F26" s="39"/>
      <c r="G26" s="33" t="e">
        <f>#REF!+#REF!</f>
        <v>#REF!</v>
      </c>
      <c r="O26" s="39"/>
      <c r="P26" s="39"/>
      <c r="Q26" s="64"/>
      <c r="R26" s="32">
        <f t="shared" si="0"/>
        <v>0</v>
      </c>
    </row>
    <row r="27" spans="1:18" ht="39" thickBot="1" x14ac:dyDescent="0.3">
      <c r="A27" s="37" t="s">
        <v>137</v>
      </c>
      <c r="B27" s="38" t="s">
        <v>138</v>
      </c>
      <c r="C27" s="39"/>
      <c r="D27" s="39"/>
      <c r="E27" s="39"/>
      <c r="F27" s="39"/>
      <c r="G27" s="33" t="e">
        <f>#REF!+#REF!+#REF!+#REF!</f>
        <v>#REF!</v>
      </c>
      <c r="I27">
        <f>295194.6-13.53</f>
        <v>295181.06999999995</v>
      </c>
      <c r="O27" s="39"/>
      <c r="P27" s="39"/>
      <c r="Q27" s="64"/>
      <c r="R27" s="32">
        <f t="shared" si="0"/>
        <v>0</v>
      </c>
    </row>
    <row r="29" spans="1:18" x14ac:dyDescent="0.25">
      <c r="E29" s="33"/>
    </row>
    <row r="31" spans="1:18" hidden="1" x14ac:dyDescent="0.25"/>
    <row r="32" spans="1:18" hidden="1" x14ac:dyDescent="0.25">
      <c r="E32" s="33">
        <f>E12+E13+E14+E23</f>
        <v>15229.699999999999</v>
      </c>
      <c r="O32">
        <v>15857</v>
      </c>
    </row>
    <row r="33" hidden="1" x14ac:dyDescent="0.25"/>
  </sheetData>
  <mergeCells count="3">
    <mergeCell ref="A2:R2"/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9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F31"/>
  <sheetViews>
    <sheetView tabSelected="1" zoomScale="110" zoomScaleNormal="110" workbookViewId="0">
      <selection activeCell="F9" sqref="F9:G9"/>
    </sheetView>
  </sheetViews>
  <sheetFormatPr defaultRowHeight="15" x14ac:dyDescent="0.25"/>
  <cols>
    <col min="1" max="1" width="9.5703125" customWidth="1"/>
    <col min="2" max="2" width="27.7109375" customWidth="1"/>
    <col min="3" max="3" width="19.7109375" customWidth="1"/>
    <col min="4" max="4" width="19.140625" customWidth="1"/>
    <col min="5" max="5" width="17.5703125" customWidth="1"/>
    <col min="6" max="6" width="17.7109375" customWidth="1"/>
  </cols>
  <sheetData>
    <row r="1" spans="1:6" ht="49.5" customHeight="1" x14ac:dyDescent="0.25">
      <c r="A1" s="12" t="s">
        <v>76</v>
      </c>
      <c r="F1" s="13" t="s">
        <v>145</v>
      </c>
    </row>
    <row r="2" spans="1:6" ht="48.6" customHeight="1" x14ac:dyDescent="0.25">
      <c r="A2" s="122" t="s">
        <v>146</v>
      </c>
      <c r="B2" s="122"/>
      <c r="C2" s="122"/>
      <c r="D2" s="122"/>
      <c r="E2" s="122"/>
      <c r="F2" s="122"/>
    </row>
    <row r="3" spans="1:6" ht="15.75" thickBot="1" x14ac:dyDescent="0.3"/>
    <row r="4" spans="1:6" s="15" customFormat="1" ht="39" thickBot="1" x14ac:dyDescent="0.25">
      <c r="A4" s="44" t="s">
        <v>2</v>
      </c>
      <c r="B4" s="45" t="s">
        <v>3</v>
      </c>
      <c r="C4" s="45" t="s">
        <v>147</v>
      </c>
      <c r="D4" s="45" t="s">
        <v>148</v>
      </c>
      <c r="E4" s="45" t="s">
        <v>149</v>
      </c>
      <c r="F4" s="45" t="s">
        <v>150</v>
      </c>
    </row>
    <row r="5" spans="1:6" s="15" customFormat="1" ht="13.5" thickBot="1" x14ac:dyDescent="0.25">
      <c r="A5" s="2" t="s">
        <v>6</v>
      </c>
      <c r="B5" s="8" t="s">
        <v>151</v>
      </c>
      <c r="C5" s="8"/>
      <c r="D5" s="8"/>
      <c r="E5" s="8"/>
      <c r="F5" s="8"/>
    </row>
    <row r="6" spans="1:6" s="15" customFormat="1" ht="39" thickBot="1" x14ac:dyDescent="0.25">
      <c r="A6" s="2" t="s">
        <v>8</v>
      </c>
      <c r="B6" s="8" t="s">
        <v>9</v>
      </c>
      <c r="C6" s="8"/>
      <c r="D6" s="8"/>
      <c r="E6" s="8"/>
      <c r="F6" s="8"/>
    </row>
    <row r="7" spans="1:6" s="15" customFormat="1" ht="39" thickBot="1" x14ac:dyDescent="0.25">
      <c r="A7" s="2" t="s">
        <v>152</v>
      </c>
      <c r="B7" s="8" t="s">
        <v>11</v>
      </c>
      <c r="C7" s="8"/>
      <c r="D7" s="8"/>
      <c r="E7" s="8"/>
      <c r="F7" s="8"/>
    </row>
    <row r="8" spans="1:6" s="15" customFormat="1" ht="39" thickBot="1" x14ac:dyDescent="0.25">
      <c r="A8" s="2" t="s">
        <v>12</v>
      </c>
      <c r="B8" s="8" t="s">
        <v>13</v>
      </c>
      <c r="C8" s="8"/>
      <c r="D8" s="8"/>
      <c r="E8" s="8"/>
      <c r="F8" s="8"/>
    </row>
    <row r="9" spans="1:6" s="15" customFormat="1" ht="128.25" thickBot="1" x14ac:dyDescent="0.25">
      <c r="A9" s="2" t="s">
        <v>153</v>
      </c>
      <c r="B9" s="8" t="s">
        <v>15</v>
      </c>
      <c r="C9" s="8"/>
      <c r="D9" s="8"/>
      <c r="E9" s="8"/>
      <c r="F9" s="8"/>
    </row>
    <row r="10" spans="1:6" s="15" customFormat="1" ht="13.5" thickBot="1" x14ac:dyDescent="0.25">
      <c r="A10" s="2" t="s">
        <v>16</v>
      </c>
      <c r="B10" s="4" t="s">
        <v>154</v>
      </c>
      <c r="C10" s="91">
        <v>2018</v>
      </c>
      <c r="D10" s="82">
        <v>0.4</v>
      </c>
      <c r="E10" s="83">
        <v>2175</v>
      </c>
      <c r="F10" s="83">
        <v>285</v>
      </c>
    </row>
    <row r="11" spans="1:6" s="15" customFormat="1" ht="13.5" thickBot="1" x14ac:dyDescent="0.25">
      <c r="A11" s="2"/>
      <c r="B11" s="4" t="s">
        <v>154</v>
      </c>
      <c r="C11" s="91">
        <v>2019</v>
      </c>
      <c r="D11" s="2">
        <v>0.4</v>
      </c>
      <c r="E11" s="8">
        <v>2170</v>
      </c>
      <c r="F11" s="8">
        <v>270</v>
      </c>
    </row>
    <row r="12" spans="1:6" s="15" customFormat="1" ht="13.5" thickBot="1" x14ac:dyDescent="0.25">
      <c r="A12" s="2"/>
      <c r="B12" s="4" t="s">
        <v>154</v>
      </c>
      <c r="C12" s="91">
        <v>2020</v>
      </c>
      <c r="D12" s="2">
        <v>0.4</v>
      </c>
      <c r="E12" s="87">
        <v>1030</v>
      </c>
      <c r="F12" s="87">
        <v>215</v>
      </c>
    </row>
    <row r="13" spans="1:6" s="15" customFormat="1" ht="13.5" thickBot="1" x14ac:dyDescent="0.25">
      <c r="A13" s="7" t="s">
        <v>14</v>
      </c>
      <c r="B13" s="4" t="s">
        <v>18</v>
      </c>
      <c r="C13" s="91">
        <v>2018</v>
      </c>
      <c r="D13" s="2">
        <v>0.4</v>
      </c>
      <c r="E13" s="8">
        <v>2085</v>
      </c>
      <c r="F13" s="8">
        <v>193</v>
      </c>
    </row>
    <row r="14" spans="1:6" s="15" customFormat="1" ht="13.5" thickBot="1" x14ac:dyDescent="0.25">
      <c r="A14" s="7"/>
      <c r="B14" s="4" t="s">
        <v>18</v>
      </c>
      <c r="C14" s="91">
        <v>2019</v>
      </c>
      <c r="D14" s="2">
        <v>0.4</v>
      </c>
      <c r="E14" s="8">
        <f>2339+347</f>
        <v>2686</v>
      </c>
      <c r="F14" s="8">
        <f>145+70</f>
        <v>215</v>
      </c>
    </row>
    <row r="15" spans="1:6" s="15" customFormat="1" ht="13.5" thickBot="1" x14ac:dyDescent="0.25">
      <c r="A15" s="7"/>
      <c r="B15" s="4" t="s">
        <v>18</v>
      </c>
      <c r="C15" s="81">
        <v>2020</v>
      </c>
      <c r="D15" s="88">
        <v>0.4</v>
      </c>
      <c r="E15" s="92">
        <v>3080</v>
      </c>
      <c r="F15" s="93">
        <v>168</v>
      </c>
    </row>
    <row r="16" spans="1:6" s="15" customFormat="1" ht="13.5" thickBot="1" x14ac:dyDescent="0.25">
      <c r="A16" s="7" t="s">
        <v>19</v>
      </c>
      <c r="B16" s="4" t="s">
        <v>20</v>
      </c>
      <c r="C16" s="89">
        <v>2020</v>
      </c>
      <c r="D16" s="84">
        <v>0.4</v>
      </c>
      <c r="E16" s="90">
        <v>748</v>
      </c>
      <c r="F16" s="94">
        <v>140</v>
      </c>
    </row>
    <row r="17" spans="1:6" s="15" customFormat="1" ht="13.5" thickBot="1" x14ac:dyDescent="0.25">
      <c r="A17" s="7" t="s">
        <v>155</v>
      </c>
      <c r="B17" s="4" t="s">
        <v>22</v>
      </c>
      <c r="C17" s="82">
        <v>2019</v>
      </c>
      <c r="D17" s="83">
        <v>0.4</v>
      </c>
      <c r="E17" s="83">
        <v>545</v>
      </c>
      <c r="F17" s="83">
        <v>189.5</v>
      </c>
    </row>
    <row r="18" spans="1:6" s="15" customFormat="1" ht="13.5" thickBot="1" x14ac:dyDescent="0.25">
      <c r="A18" s="7"/>
      <c r="B18" s="4" t="s">
        <v>22</v>
      </c>
      <c r="C18" s="8">
        <v>2020</v>
      </c>
      <c r="D18" s="8">
        <v>0.4</v>
      </c>
      <c r="E18" s="87">
        <v>1566</v>
      </c>
      <c r="F18" s="87">
        <v>140</v>
      </c>
    </row>
    <row r="19" spans="1:6" s="15" customFormat="1" ht="13.5" thickBot="1" x14ac:dyDescent="0.25">
      <c r="A19" s="7" t="s">
        <v>23</v>
      </c>
      <c r="B19" s="4" t="s">
        <v>156</v>
      </c>
      <c r="C19" s="8">
        <v>2018</v>
      </c>
      <c r="D19" s="8">
        <v>0.4</v>
      </c>
      <c r="E19" s="8"/>
      <c r="F19" s="8"/>
    </row>
    <row r="20" spans="1:6" s="15" customFormat="1" ht="13.5" thickBot="1" x14ac:dyDescent="0.25">
      <c r="A20" s="7"/>
      <c r="B20" s="4" t="s">
        <v>156</v>
      </c>
      <c r="C20" s="8">
        <v>2019</v>
      </c>
      <c r="D20" s="8">
        <v>0.4</v>
      </c>
      <c r="E20" s="8"/>
      <c r="F20" s="8"/>
    </row>
    <row r="21" spans="1:6" s="15" customFormat="1" ht="13.5" thickBot="1" x14ac:dyDescent="0.25">
      <c r="A21" s="7"/>
      <c r="B21" s="4" t="s">
        <v>156</v>
      </c>
      <c r="C21" s="8">
        <v>2020</v>
      </c>
      <c r="D21" s="8">
        <v>0.4</v>
      </c>
      <c r="E21" s="87"/>
      <c r="F21" s="87"/>
    </row>
    <row r="22" spans="1:6" s="15" customFormat="1" ht="13.5" thickBot="1" x14ac:dyDescent="0.25">
      <c r="A22" s="7" t="s">
        <v>28</v>
      </c>
      <c r="B22" s="8" t="s">
        <v>29</v>
      </c>
      <c r="C22" s="8"/>
      <c r="D22" s="8"/>
      <c r="E22" s="8"/>
      <c r="F22" s="8"/>
    </row>
    <row r="23" spans="1:6" s="15" customFormat="1" ht="64.5" thickBot="1" x14ac:dyDescent="0.25">
      <c r="A23" s="7" t="s">
        <v>30</v>
      </c>
      <c r="B23" s="8" t="s">
        <v>31</v>
      </c>
      <c r="C23" s="8"/>
      <c r="D23" s="8"/>
      <c r="E23" s="8"/>
      <c r="F23" s="8"/>
    </row>
    <row r="24" spans="1:6" s="15" customFormat="1" ht="26.25" thickBot="1" x14ac:dyDescent="0.25">
      <c r="A24" s="7" t="s">
        <v>32</v>
      </c>
      <c r="B24" s="8" t="s">
        <v>33</v>
      </c>
      <c r="C24" s="8"/>
      <c r="D24" s="8"/>
      <c r="E24" s="8"/>
      <c r="F24" s="8"/>
    </row>
    <row r="25" spans="1:6" s="15" customFormat="1" ht="39" thickBot="1" x14ac:dyDescent="0.25">
      <c r="A25" s="7" t="s">
        <v>34</v>
      </c>
      <c r="B25" s="8" t="s">
        <v>35</v>
      </c>
      <c r="C25" s="8"/>
      <c r="D25" s="8"/>
      <c r="E25" s="8"/>
      <c r="F25" s="8"/>
    </row>
    <row r="26" spans="1:6" s="15" customFormat="1" ht="128.25" thickBot="1" x14ac:dyDescent="0.25">
      <c r="A26" s="7" t="s">
        <v>34</v>
      </c>
      <c r="B26" s="8" t="s">
        <v>15</v>
      </c>
      <c r="C26" s="8"/>
      <c r="D26" s="8"/>
      <c r="E26" s="8"/>
      <c r="F26" s="8"/>
    </row>
    <row r="27" spans="1:6" s="15" customFormat="1" ht="13.5" thickBot="1" x14ac:dyDescent="0.25">
      <c r="A27" s="7" t="s">
        <v>38</v>
      </c>
      <c r="B27" s="4" t="s">
        <v>157</v>
      </c>
      <c r="C27" s="8">
        <v>2018</v>
      </c>
      <c r="D27" s="8">
        <v>0.4</v>
      </c>
      <c r="E27" s="8">
        <v>200</v>
      </c>
      <c r="F27" s="8">
        <v>200</v>
      </c>
    </row>
    <row r="31" spans="1:6" x14ac:dyDescent="0.25">
      <c r="A31" t="s">
        <v>158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Прил1</vt:lpstr>
      <vt:lpstr>Прил2-2018</vt:lpstr>
      <vt:lpstr>Прил2-2019</vt:lpstr>
      <vt:lpstr>Прил2-2020</vt:lpstr>
      <vt:lpstr>Прил3а</vt:lpstr>
      <vt:lpstr>Прил3в</vt:lpstr>
      <vt:lpstr>Прил5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Вилесова Светлана Васильевна</dc:creator>
  <cp:lastModifiedBy>Орлова Елена Николаевна</cp:lastModifiedBy>
  <dcterms:created xsi:type="dcterms:W3CDTF">2020-11-03T07:18:30Z</dcterms:created>
  <dcterms:modified xsi:type="dcterms:W3CDTF">2021-10-21T08:47:27Z</dcterms:modified>
</cp:coreProperties>
</file>